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hiroashihara/VFMcalcProj/vfm_output/"/>
    </mc:Choice>
  </mc:AlternateContent>
  <xr:revisionPtr revIDLastSave="0" documentId="13_ncr:1_{8BEABB4F-84A6-654B-A574-43D1B8986BCC}" xr6:coauthVersionLast="47" xr6:coauthVersionMax="47" xr10:uidLastSave="{00000000-0000-0000-0000-000000000000}"/>
  <bookViews>
    <workbookView xWindow="0" yWindow="740" windowWidth="29400" windowHeight="18380" activeTab="5" xr2:uid="{00000000-000D-0000-FFFF-FFFF00000000}"/>
  </bookViews>
  <sheets>
    <sheet name="Disclaimer" sheetId="1" r:id="rId1"/>
    <sheet name="事業費用概算" sheetId="2" r:id="rId2"/>
    <sheet name="DB" sheetId="3" r:id="rId3"/>
    <sheet name="BT" sheetId="4" r:id="rId4"/>
    <sheet name="DBO" sheetId="5" r:id="rId5"/>
    <sheet name="BTO" sheetId="6" r:id="rId6"/>
    <sheet name="BOT・BOO" sheetId="7" r:id="rId7"/>
    <sheet name="説明用アウトプットシート" sheetId="8" r:id="rId8"/>
    <sheet name="【編集不可】リスト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9" l="1" a="1"/>
  <c r="K33" i="9" s="1"/>
  <c r="J33" i="9" a="1"/>
  <c r="J33" i="9" s="1"/>
  <c r="M32" i="9" a="1"/>
  <c r="M32" i="9" s="1"/>
  <c r="L32" i="9" a="1"/>
  <c r="L32" i="9" s="1"/>
  <c r="K31" i="9" a="1"/>
  <c r="K31" i="9" s="1"/>
  <c r="J31" i="9" a="1"/>
  <c r="J31" i="9" s="1"/>
  <c r="M30" i="9" a="1"/>
  <c r="M30" i="9" s="1"/>
  <c r="L30" i="9" a="1"/>
  <c r="L30" i="9" s="1"/>
  <c r="K29" i="9" a="1"/>
  <c r="K29" i="9" s="1"/>
  <c r="J29" i="9" a="1"/>
  <c r="J29" i="9" s="1"/>
  <c r="F29" i="9" a="1"/>
  <c r="F29" i="9" s="1"/>
  <c r="M28" i="9" a="1"/>
  <c r="M28" i="9" s="1"/>
  <c r="L28" i="9" a="1"/>
  <c r="L28" i="9" s="1"/>
  <c r="K27" i="9" a="1"/>
  <c r="K27" i="9" s="1"/>
  <c r="J27" i="9" a="1"/>
  <c r="J27" i="9" s="1"/>
  <c r="F27" i="9" a="1"/>
  <c r="F27" i="9" s="1"/>
  <c r="M26" i="9" a="1"/>
  <c r="M26" i="9" s="1"/>
  <c r="L26" i="9" a="1"/>
  <c r="L26" i="9" s="1"/>
  <c r="K25" i="9" a="1"/>
  <c r="K25" i="9" s="1"/>
  <c r="J25" i="9" a="1"/>
  <c r="J25" i="9" s="1"/>
  <c r="F25" i="9" a="1"/>
  <c r="F25" i="9" s="1"/>
  <c r="M24" i="9" a="1"/>
  <c r="M24" i="9" s="1"/>
  <c r="L24" i="9" a="1"/>
  <c r="L24" i="9" s="1"/>
  <c r="H24" i="9" a="1"/>
  <c r="H24" i="9" s="1"/>
  <c r="K23" i="9" a="1"/>
  <c r="K23" i="9" s="1"/>
  <c r="J23" i="9" a="1"/>
  <c r="J23" i="9" s="1"/>
  <c r="F23" i="9" a="1"/>
  <c r="F23" i="9" s="1"/>
  <c r="M22" i="9" a="1"/>
  <c r="M22" i="9" s="1"/>
  <c r="L22" i="9" a="1"/>
  <c r="L22" i="9" s="1"/>
  <c r="H22" i="9" a="1"/>
  <c r="H22" i="9" s="1"/>
  <c r="K21" i="9" a="1"/>
  <c r="K21" i="9" s="1"/>
  <c r="J21" i="9" a="1"/>
  <c r="J21" i="9" s="1"/>
  <c r="F21" i="9" a="1"/>
  <c r="F21" i="9" s="1"/>
  <c r="M20" i="9" a="1"/>
  <c r="M20" i="9" s="1"/>
  <c r="L20" i="9" a="1"/>
  <c r="L20" i="9" s="1"/>
  <c r="H20" i="9" a="1"/>
  <c r="H20" i="9" s="1"/>
  <c r="K19" i="9" a="1"/>
  <c r="K19" i="9" s="1"/>
  <c r="J19" i="9" a="1"/>
  <c r="J19" i="9" s="1"/>
  <c r="F19" i="9" a="1"/>
  <c r="F19" i="9" s="1"/>
  <c r="M18" i="9" a="1"/>
  <c r="M18" i="9" s="1"/>
  <c r="L18" i="9" a="1"/>
  <c r="L18" i="9" s="1"/>
  <c r="H18" i="9" a="1"/>
  <c r="H18" i="9" s="1"/>
  <c r="K17" i="9" a="1"/>
  <c r="K17" i="9" s="1"/>
  <c r="J17" i="9" a="1"/>
  <c r="J17" i="9" s="1"/>
  <c r="G17" i="9" a="1"/>
  <c r="G17" i="9" s="1"/>
  <c r="F17" i="9" a="1"/>
  <c r="F17" i="9" s="1"/>
  <c r="M16" i="9" a="1"/>
  <c r="M16" i="9" s="1"/>
  <c r="L16" i="9" a="1"/>
  <c r="L16" i="9" s="1"/>
  <c r="H16" i="9" a="1"/>
  <c r="H16" i="9" s="1"/>
  <c r="K15" i="9" a="1"/>
  <c r="K15" i="9" s="1"/>
  <c r="J15" i="9" a="1"/>
  <c r="J15" i="9" s="1"/>
  <c r="G15" i="9" a="1"/>
  <c r="G15" i="9" s="1"/>
  <c r="F15" i="9" a="1"/>
  <c r="F15" i="9" s="1"/>
  <c r="M14" i="9" a="1"/>
  <c r="M14" i="9" s="1"/>
  <c r="L14" i="9" a="1"/>
  <c r="L14" i="9" s="1"/>
  <c r="H14" i="9" a="1"/>
  <c r="H14" i="9" s="1"/>
  <c r="K13" i="9" a="1"/>
  <c r="K13" i="9" s="1"/>
  <c r="J13" i="9" a="1"/>
  <c r="J13" i="9" s="1"/>
  <c r="G13" i="9" a="1"/>
  <c r="G13" i="9" s="1"/>
  <c r="F13" i="9" a="1"/>
  <c r="F13" i="9" s="1"/>
  <c r="M12" i="9" a="1"/>
  <c r="M12" i="9" s="1"/>
  <c r="L12" i="9" a="1"/>
  <c r="L12" i="9" s="1"/>
  <c r="H12" i="9" a="1"/>
  <c r="H12" i="9" s="1"/>
  <c r="K11" i="9" a="1"/>
  <c r="K11" i="9" s="1"/>
  <c r="J11" i="9" a="1"/>
  <c r="J11" i="9" s="1"/>
  <c r="G11" i="9" a="1"/>
  <c r="G11" i="9" s="1"/>
  <c r="F11" i="9" a="1"/>
  <c r="F11" i="9" s="1"/>
  <c r="M10" i="9" a="1"/>
  <c r="M10" i="9" s="1"/>
  <c r="L10" i="9" a="1"/>
  <c r="L10" i="9" s="1"/>
  <c r="H10" i="9" a="1"/>
  <c r="H10" i="9" s="1"/>
  <c r="K9" i="9" a="1"/>
  <c r="K9" i="9" s="1"/>
  <c r="J9" i="9" a="1"/>
  <c r="J9" i="9" s="1"/>
  <c r="G9" i="9" a="1"/>
  <c r="G9" i="9" s="1"/>
  <c r="F9" i="9" a="1"/>
  <c r="F9" i="9" s="1"/>
  <c r="M8" i="9" a="1"/>
  <c r="M8" i="9" s="1"/>
  <c r="L8" i="9" a="1"/>
  <c r="L8" i="9" s="1"/>
  <c r="I8" i="9" a="1"/>
  <c r="I8" i="9" s="1"/>
  <c r="H8" i="9" a="1"/>
  <c r="H8" i="9" s="1"/>
  <c r="K7" i="9" a="1"/>
  <c r="K7" i="9" s="1"/>
  <c r="J7" i="9" a="1"/>
  <c r="J7" i="9" s="1"/>
  <c r="G7" i="9" a="1"/>
  <c r="G7" i="9" s="1"/>
  <c r="F7" i="9" a="1"/>
  <c r="F7" i="9" s="1"/>
  <c r="M6" i="9" a="1"/>
  <c r="M6" i="9" s="1"/>
  <c r="L6" i="9" a="1"/>
  <c r="L6" i="9" s="1"/>
  <c r="I6" i="9" a="1"/>
  <c r="I6" i="9" s="1"/>
  <c r="K5" i="9" a="1"/>
  <c r="K5" i="9" s="1"/>
  <c r="J5" i="9" a="1"/>
  <c r="J5" i="9" s="1"/>
  <c r="G5" i="9" a="1"/>
  <c r="G5" i="9" s="1"/>
  <c r="F5" i="9" a="1"/>
  <c r="F5" i="9" s="1"/>
  <c r="M4" i="9" a="1"/>
  <c r="M4" i="9" s="1"/>
  <c r="L4" i="9" a="1"/>
  <c r="L4" i="9" s="1"/>
  <c r="H4" i="9" a="1"/>
  <c r="H4" i="9" s="1"/>
  <c r="I3" i="9"/>
  <c r="G3" i="9"/>
  <c r="L2" i="9"/>
  <c r="M33" i="9" s="1" a="1"/>
  <c r="M33" i="9" s="1"/>
  <c r="J2" i="9"/>
  <c r="K32" i="9" s="1" a="1"/>
  <c r="K32" i="9" s="1"/>
  <c r="H2" i="9"/>
  <c r="F2" i="9"/>
  <c r="G32" i="9" s="1" a="1"/>
  <c r="G32" i="9" s="1"/>
  <c r="D2" i="9"/>
  <c r="S35" i="8" a="1"/>
  <c r="S35" i="8" s="1"/>
  <c r="P35" i="8" a="1"/>
  <c r="P35" i="8"/>
  <c r="M35" i="8" a="1"/>
  <c r="M35" i="8"/>
  <c r="J35" i="8" a="1"/>
  <c r="J35" i="8"/>
  <c r="G35" i="8" a="1"/>
  <c r="G35" i="8" s="1"/>
  <c r="S34" i="8" a="1"/>
  <c r="S34" i="8"/>
  <c r="P34" i="8" a="1"/>
  <c r="P34" i="8"/>
  <c r="M34" i="8" a="1"/>
  <c r="M34" i="8"/>
  <c r="J34" i="8" a="1"/>
  <c r="J34" i="8" s="1"/>
  <c r="G34" i="8" a="1"/>
  <c r="G34" i="8" s="1"/>
  <c r="S33" i="8" a="1"/>
  <c r="S33" i="8"/>
  <c r="P33" i="8" a="1"/>
  <c r="P33" i="8"/>
  <c r="M33" i="8" a="1"/>
  <c r="M33" i="8" s="1"/>
  <c r="J33" i="8" a="1"/>
  <c r="J33" i="8" s="1"/>
  <c r="G33" i="8" a="1"/>
  <c r="G33" i="8"/>
  <c r="T28" i="8" a="1"/>
  <c r="T28" i="8" s="1"/>
  <c r="Q28" i="8" a="1"/>
  <c r="Q28" i="8" s="1"/>
  <c r="N28" i="8" a="1"/>
  <c r="N28" i="8"/>
  <c r="K28" i="8" a="1"/>
  <c r="K28" i="8"/>
  <c r="H28" i="8" a="1"/>
  <c r="H28" i="8" s="1"/>
  <c r="S26" i="8" a="1"/>
  <c r="S26" i="8"/>
  <c r="P26" i="8" a="1"/>
  <c r="P26" i="8"/>
  <c r="M26" i="8" a="1"/>
  <c r="M26" i="8"/>
  <c r="J26" i="8" a="1"/>
  <c r="J26" i="8" s="1"/>
  <c r="G26" i="8" a="1"/>
  <c r="G26" i="8" s="1"/>
  <c r="T24" i="8" a="1"/>
  <c r="T24" i="8"/>
  <c r="S24" i="8" a="1"/>
  <c r="S24" i="8"/>
  <c r="Q24" i="8" a="1"/>
  <c r="Q24" i="8" s="1"/>
  <c r="P24" i="8" a="1"/>
  <c r="P24" i="8" s="1"/>
  <c r="N24" i="8" a="1"/>
  <c r="N24" i="8"/>
  <c r="M24" i="8" a="1"/>
  <c r="M24" i="8"/>
  <c r="K24" i="8" a="1"/>
  <c r="K24" i="8" s="1"/>
  <c r="J24" i="8" a="1"/>
  <c r="J24" i="8"/>
  <c r="T23" i="8" a="1"/>
  <c r="T23" i="8" s="1"/>
  <c r="S23" i="8" a="1"/>
  <c r="S23" i="8" s="1"/>
  <c r="Q23" i="8" a="1"/>
  <c r="Q23" i="8" s="1"/>
  <c r="P23" i="8" a="1"/>
  <c r="P23" i="8" s="1"/>
  <c r="N23" i="8" a="1"/>
  <c r="N23" i="8" s="1"/>
  <c r="M23" i="8" a="1"/>
  <c r="M23" i="8" s="1"/>
  <c r="K23" i="8" a="1"/>
  <c r="K23" i="8"/>
  <c r="J23" i="8" a="1"/>
  <c r="J23" i="8"/>
  <c r="T22" i="8" a="1"/>
  <c r="T22" i="8"/>
  <c r="S22" i="8" a="1"/>
  <c r="S22" i="8"/>
  <c r="Q22" i="8" a="1"/>
  <c r="Q22" i="8" s="1"/>
  <c r="P22" i="8" a="1"/>
  <c r="P22" i="8" s="1"/>
  <c r="N22" i="8" a="1"/>
  <c r="N22" i="8"/>
  <c r="M22" i="8" a="1"/>
  <c r="M22" i="8"/>
  <c r="K22" i="8" a="1"/>
  <c r="K22" i="8" s="1"/>
  <c r="J22" i="8" a="1"/>
  <c r="J22" i="8" s="1"/>
  <c r="T21" i="8" a="1"/>
  <c r="T21" i="8" s="1"/>
  <c r="S21" i="8" a="1"/>
  <c r="S21" i="8" s="1"/>
  <c r="Q21" i="8" a="1"/>
  <c r="Q21" i="8"/>
  <c r="P21" i="8" a="1"/>
  <c r="P21" i="8"/>
  <c r="N21" i="8" a="1"/>
  <c r="N21" i="8" s="1"/>
  <c r="M21" i="8" a="1"/>
  <c r="M21" i="8" s="1"/>
  <c r="K21" i="8" a="1"/>
  <c r="K21" i="8"/>
  <c r="J21" i="8" a="1"/>
  <c r="J21" i="8"/>
  <c r="T19" i="8" a="1"/>
  <c r="T19" i="8"/>
  <c r="S19" i="8" a="1"/>
  <c r="S19" i="8"/>
  <c r="Q19" i="8" a="1"/>
  <c r="Q19" i="8" s="1"/>
  <c r="P19" i="8" a="1"/>
  <c r="P19" i="8" s="1"/>
  <c r="N19" i="8" a="1"/>
  <c r="N19" i="8"/>
  <c r="M19" i="8" a="1"/>
  <c r="M19" i="8"/>
  <c r="K19" i="8" a="1"/>
  <c r="K19" i="8" s="1"/>
  <c r="J19" i="8" a="1"/>
  <c r="J19" i="8" s="1"/>
  <c r="H19" i="8" a="1"/>
  <c r="H19" i="8"/>
  <c r="G19" i="8" a="1"/>
  <c r="G19" i="8" s="1"/>
  <c r="T18" i="8" a="1"/>
  <c r="T18" i="8" s="1"/>
  <c r="S18" i="8" a="1"/>
  <c r="S18" i="8" s="1"/>
  <c r="Q18" i="8" a="1"/>
  <c r="Q18" i="8"/>
  <c r="P18" i="8" a="1"/>
  <c r="P18" i="8"/>
  <c r="N18" i="8" a="1"/>
  <c r="N18" i="8" s="1"/>
  <c r="M18" i="8" a="1"/>
  <c r="M18" i="8" s="1"/>
  <c r="K18" i="8" a="1"/>
  <c r="K18" i="8"/>
  <c r="J18" i="8" a="1"/>
  <c r="J18" i="8"/>
  <c r="H18" i="8" a="1"/>
  <c r="H18" i="8" s="1"/>
  <c r="G18" i="8" a="1"/>
  <c r="G18" i="8" s="1"/>
  <c r="AI17" i="8" a="1"/>
  <c r="AI17" i="8"/>
  <c r="AG17" i="8" a="1"/>
  <c r="AG17" i="8"/>
  <c r="AE17" i="8" a="1"/>
  <c r="AE17" i="8" s="1"/>
  <c r="AC17" i="8" a="1"/>
  <c r="AC17" i="8" s="1"/>
  <c r="T15" i="8" a="1"/>
  <c r="T15" i="8"/>
  <c r="S15" i="8" a="1"/>
  <c r="S15" i="8" s="1"/>
  <c r="Q15" i="8" a="1"/>
  <c r="Q15" i="8" s="1"/>
  <c r="P15" i="8" a="1"/>
  <c r="P15" i="8"/>
  <c r="N15" i="8" a="1"/>
  <c r="N15" i="8"/>
  <c r="M15" i="8" a="1"/>
  <c r="M15" i="8" s="1"/>
  <c r="K15" i="8" a="1"/>
  <c r="K15" i="8" s="1"/>
  <c r="J15" i="8" a="1"/>
  <c r="J15" i="8"/>
  <c r="AI14" i="8" a="1"/>
  <c r="AI14" i="8" s="1"/>
  <c r="AG14" i="8" a="1"/>
  <c r="AG14" i="8"/>
  <c r="AE14" i="8" a="1"/>
  <c r="AE14" i="8"/>
  <c r="AC14" i="8" a="1"/>
  <c r="AC14" i="8" s="1"/>
  <c r="T14" i="8" a="1"/>
  <c r="T14" i="8"/>
  <c r="S14" i="8" a="1"/>
  <c r="S14" i="8"/>
  <c r="Q14" i="8" a="1"/>
  <c r="Q14" i="8" s="1"/>
  <c r="P14" i="8" a="1"/>
  <c r="P14" i="8" s="1"/>
  <c r="N14" i="8" a="1"/>
  <c r="N14" i="8"/>
  <c r="M14" i="8" a="1"/>
  <c r="M14" i="8"/>
  <c r="K14" i="8" a="1"/>
  <c r="K14" i="8" s="1"/>
  <c r="J14" i="8" a="1"/>
  <c r="J14" i="8" s="1"/>
  <c r="H14" i="8" a="1"/>
  <c r="H14" i="8"/>
  <c r="G14" i="8" a="1"/>
  <c r="G14" i="8"/>
  <c r="AI13" i="8" a="1"/>
  <c r="AI13" i="8" s="1"/>
  <c r="AG13" i="8" a="1"/>
  <c r="AG13" i="8" s="1"/>
  <c r="AE13" i="8" a="1"/>
  <c r="AE13" i="8"/>
  <c r="AC13" i="8" a="1"/>
  <c r="AC13" i="8"/>
  <c r="T12" i="8" a="1"/>
  <c r="T12" i="8" s="1"/>
  <c r="S12" i="8" a="1"/>
  <c r="S12" i="8"/>
  <c r="Q12" i="8" a="1"/>
  <c r="Q12" i="8"/>
  <c r="P12" i="8" a="1"/>
  <c r="P12" i="8" s="1"/>
  <c r="N12" i="8" a="1"/>
  <c r="N12" i="8" s="1"/>
  <c r="M12" i="8" a="1"/>
  <c r="M12" i="8"/>
  <c r="K12" i="8" a="1"/>
  <c r="K12" i="8"/>
  <c r="J12" i="8" a="1"/>
  <c r="J12" i="8" s="1"/>
  <c r="AI10" i="8" a="1"/>
  <c r="AI10" i="8"/>
  <c r="AG10" i="8" a="1"/>
  <c r="AG10" i="8" s="1"/>
  <c r="AE10" i="8" a="1"/>
  <c r="AE10" i="8" s="1"/>
  <c r="AC10" i="8" a="1"/>
  <c r="AC10" i="8"/>
  <c r="S10" i="8" a="1"/>
  <c r="S10" i="8" s="1"/>
  <c r="S8" i="8" s="1"/>
  <c r="P10" i="8" a="1"/>
  <c r="P10" i="8" s="1"/>
  <c r="P8" i="8" s="1"/>
  <c r="M10" i="8" a="1"/>
  <c r="M10" i="8"/>
  <c r="J10" i="8" a="1"/>
  <c r="J10" i="8"/>
  <c r="G10" i="8" a="1"/>
  <c r="G10" i="8" s="1"/>
  <c r="AI9" i="8" a="1"/>
  <c r="AI9" i="8" s="1"/>
  <c r="AG9" i="8" a="1"/>
  <c r="AG9" i="8"/>
  <c r="AE9" i="8" a="1"/>
  <c r="AE9" i="8"/>
  <c r="AC9" i="8" a="1"/>
  <c r="AC9" i="8" s="1"/>
  <c r="S9" i="8" a="1"/>
  <c r="S9" i="8"/>
  <c r="P9" i="8" a="1"/>
  <c r="P9" i="8"/>
  <c r="M9" i="8" a="1"/>
  <c r="M9" i="8" s="1"/>
  <c r="M8" i="8" s="1"/>
  <c r="J9" i="8" a="1"/>
  <c r="J9" i="8" s="1"/>
  <c r="J8" i="8" s="1"/>
  <c r="G9" i="8" a="1"/>
  <c r="G9" i="8" s="1"/>
  <c r="G8" i="8" s="1"/>
  <c r="AI7" i="8"/>
  <c r="AG7" i="8"/>
  <c r="AE7" i="8"/>
  <c r="AC7" i="8"/>
  <c r="AA7" i="8"/>
  <c r="O108" i="7"/>
  <c r="O109" i="7" s="1"/>
  <c r="O107" i="7"/>
  <c r="O105" i="7"/>
  <c r="O103" i="7"/>
  <c r="U92" i="7"/>
  <c r="P92" i="7"/>
  <c r="P89" i="7"/>
  <c r="P88" i="7"/>
  <c r="P90" i="7" s="1"/>
  <c r="U87" i="7" s="1"/>
  <c r="U86" i="7"/>
  <c r="P85" i="7"/>
  <c r="P86" i="7" s="1"/>
  <c r="U84" i="7"/>
  <c r="P84" i="7"/>
  <c r="U83" i="7"/>
  <c r="U82" i="7"/>
  <c r="P81" i="7"/>
  <c r="P80" i="7"/>
  <c r="P82" i="7" s="1"/>
  <c r="P50" i="7" s="1"/>
  <c r="P51" i="7" s="1"/>
  <c r="U79" i="7"/>
  <c r="U80" i="7" s="1"/>
  <c r="U78" i="7"/>
  <c r="P78" i="7"/>
  <c r="U75" i="7"/>
  <c r="P75" i="7"/>
  <c r="U74" i="7"/>
  <c r="U76" i="7" s="1"/>
  <c r="P74" i="7"/>
  <c r="P76" i="7" s="1"/>
  <c r="F69" i="7"/>
  <c r="P67" i="7"/>
  <c r="P65" i="7"/>
  <c r="O65" i="7"/>
  <c r="O60" i="7"/>
  <c r="BS56" i="7"/>
  <c r="BP56" i="7"/>
  <c r="BO56" i="7"/>
  <c r="BM56" i="7"/>
  <c r="BL56" i="7"/>
  <c r="BK56" i="7"/>
  <c r="BH56" i="7"/>
  <c r="AY56" i="7"/>
  <c r="AW56" i="7"/>
  <c r="AT56" i="7"/>
  <c r="AQ56" i="7"/>
  <c r="AP56" i="7"/>
  <c r="AO56" i="7"/>
  <c r="AD56" i="7"/>
  <c r="AA56" i="7"/>
  <c r="Z56" i="7"/>
  <c r="Y56" i="7"/>
  <c r="BS55" i="7"/>
  <c r="BP55" i="7"/>
  <c r="BO55" i="7"/>
  <c r="BM55" i="7"/>
  <c r="BK55" i="7"/>
  <c r="BH55" i="7"/>
  <c r="AY55" i="7"/>
  <c r="BL55" i="7" s="1"/>
  <c r="AW55" i="7"/>
  <c r="AT55" i="7"/>
  <c r="AQ55" i="7"/>
  <c r="AP55" i="7"/>
  <c r="AO55" i="7"/>
  <c r="AD55" i="7"/>
  <c r="AA55" i="7"/>
  <c r="Z55" i="7"/>
  <c r="Y55" i="7"/>
  <c r="BS54" i="7"/>
  <c r="BP54" i="7"/>
  <c r="BO54" i="7"/>
  <c r="BM54" i="7"/>
  <c r="BK54" i="7"/>
  <c r="BH54" i="7"/>
  <c r="AY54" i="7"/>
  <c r="BL54" i="7" s="1"/>
  <c r="AW54" i="7"/>
  <c r="AT54" i="7"/>
  <c r="AQ54" i="7"/>
  <c r="AP54" i="7"/>
  <c r="AO54" i="7"/>
  <c r="AD54" i="7"/>
  <c r="AA54" i="7"/>
  <c r="Z54" i="7"/>
  <c r="Y54" i="7"/>
  <c r="BS53" i="7"/>
  <c r="BP53" i="7"/>
  <c r="BO53" i="7"/>
  <c r="BM53" i="7"/>
  <c r="BK53" i="7"/>
  <c r="AY53" i="7"/>
  <c r="BL53" i="7" s="1"/>
  <c r="AW53" i="7"/>
  <c r="AT53" i="7"/>
  <c r="BH53" i="7" s="1"/>
  <c r="AQ53" i="7"/>
  <c r="AP53" i="7"/>
  <c r="AO53" i="7"/>
  <c r="AD53" i="7"/>
  <c r="AA53" i="7"/>
  <c r="Z53" i="7"/>
  <c r="Y53" i="7"/>
  <c r="BS52" i="7"/>
  <c r="BP52" i="7"/>
  <c r="BO52" i="7"/>
  <c r="BM52" i="7"/>
  <c r="BK52" i="7"/>
  <c r="BH52" i="7"/>
  <c r="AY52" i="7"/>
  <c r="BL52" i="7" s="1"/>
  <c r="AW52" i="7"/>
  <c r="AT52" i="7"/>
  <c r="AQ52" i="7"/>
  <c r="AP52" i="7"/>
  <c r="AO52" i="7"/>
  <c r="AD52" i="7"/>
  <c r="AA52" i="7"/>
  <c r="Z52" i="7"/>
  <c r="Y52" i="7"/>
  <c r="P52" i="7"/>
  <c r="BS51" i="7"/>
  <c r="BP51" i="7"/>
  <c r="BO51" i="7"/>
  <c r="BM51" i="7"/>
  <c r="BL51" i="7"/>
  <c r="AY51" i="7"/>
  <c r="AW51" i="7"/>
  <c r="BK51" i="7" s="1"/>
  <c r="AT51" i="7"/>
  <c r="AQ51" i="7"/>
  <c r="AP51" i="7"/>
  <c r="AO51" i="7"/>
  <c r="AD51" i="7"/>
  <c r="AA51" i="7"/>
  <c r="Z51" i="7"/>
  <c r="Y51" i="7"/>
  <c r="BS50" i="7"/>
  <c r="BP50" i="7"/>
  <c r="BO50" i="7"/>
  <c r="BM50" i="7"/>
  <c r="BL50" i="7"/>
  <c r="AY50" i="7"/>
  <c r="AW50" i="7"/>
  <c r="BK50" i="7" s="1"/>
  <c r="AT50" i="7"/>
  <c r="BH50" i="7" s="1"/>
  <c r="AQ50" i="7"/>
  <c r="AP50" i="7"/>
  <c r="AO50" i="7"/>
  <c r="AD50" i="7"/>
  <c r="AA50" i="7"/>
  <c r="Z50" i="7"/>
  <c r="Y50" i="7"/>
  <c r="BS49" i="7"/>
  <c r="BP49" i="7"/>
  <c r="BO49" i="7"/>
  <c r="BM49" i="7"/>
  <c r="BH49" i="7"/>
  <c r="AY49" i="7"/>
  <c r="BL49" i="7" s="1"/>
  <c r="AW49" i="7"/>
  <c r="BK49" i="7" s="1"/>
  <c r="AT49" i="7"/>
  <c r="AQ49" i="7"/>
  <c r="AP49" i="7"/>
  <c r="AO49" i="7"/>
  <c r="AD49" i="7"/>
  <c r="AA49" i="7"/>
  <c r="Z49" i="7"/>
  <c r="Y49" i="7"/>
  <c r="P49" i="7"/>
  <c r="BS48" i="7"/>
  <c r="BP48" i="7"/>
  <c r="BO48" i="7"/>
  <c r="BM48" i="7"/>
  <c r="BK48" i="7"/>
  <c r="AY48" i="7"/>
  <c r="BL48" i="7" s="1"/>
  <c r="AW48" i="7"/>
  <c r="AT48" i="7"/>
  <c r="AQ48" i="7"/>
  <c r="AP48" i="7"/>
  <c r="AO48" i="7"/>
  <c r="AD48" i="7"/>
  <c r="AA48" i="7"/>
  <c r="Z48" i="7"/>
  <c r="Y48" i="7"/>
  <c r="P48" i="7"/>
  <c r="BS47" i="7"/>
  <c r="BP47" i="7"/>
  <c r="BO47" i="7"/>
  <c r="BM47" i="7"/>
  <c r="BH47" i="7"/>
  <c r="AY47" i="7"/>
  <c r="BL47" i="7" s="1"/>
  <c r="AW47" i="7"/>
  <c r="BK47" i="7" s="1"/>
  <c r="AT47" i="7"/>
  <c r="AQ47" i="7"/>
  <c r="AP47" i="7"/>
  <c r="AO47" i="7"/>
  <c r="AD47" i="7"/>
  <c r="AA47" i="7"/>
  <c r="Z47" i="7"/>
  <c r="Y47" i="7"/>
  <c r="BS46" i="7"/>
  <c r="BP46" i="7"/>
  <c r="BO46" i="7"/>
  <c r="BM46" i="7"/>
  <c r="BL46" i="7"/>
  <c r="BK46" i="7"/>
  <c r="AY46" i="7"/>
  <c r="AW46" i="7"/>
  <c r="AT46" i="7"/>
  <c r="AQ46" i="7"/>
  <c r="AP46" i="7"/>
  <c r="AO46" i="7"/>
  <c r="AD46" i="7"/>
  <c r="AA46" i="7"/>
  <c r="Z46" i="7"/>
  <c r="Y46" i="7"/>
  <c r="BS45" i="7"/>
  <c r="BP45" i="7"/>
  <c r="BO45" i="7"/>
  <c r="BM45" i="7"/>
  <c r="BK45" i="7"/>
  <c r="AY45" i="7"/>
  <c r="BL45" i="7" s="1"/>
  <c r="AW45" i="7"/>
  <c r="AT45" i="7"/>
  <c r="BH45" i="7" s="1"/>
  <c r="AQ45" i="7"/>
  <c r="AP45" i="7"/>
  <c r="AO45" i="7"/>
  <c r="AD45" i="7"/>
  <c r="AA45" i="7"/>
  <c r="Z45" i="7"/>
  <c r="Y45" i="7"/>
  <c r="BS44" i="7"/>
  <c r="BP44" i="7"/>
  <c r="BO44" i="7"/>
  <c r="BM44" i="7"/>
  <c r="BL44" i="7"/>
  <c r="AY44" i="7"/>
  <c r="AW44" i="7"/>
  <c r="BK44" i="7" s="1"/>
  <c r="AT44" i="7"/>
  <c r="BH44" i="7" s="1"/>
  <c r="AQ44" i="7"/>
  <c r="AP44" i="7"/>
  <c r="AO44" i="7"/>
  <c r="AD44" i="7"/>
  <c r="AA44" i="7"/>
  <c r="Z44" i="7"/>
  <c r="Y44" i="7"/>
  <c r="BS43" i="7"/>
  <c r="BP43" i="7"/>
  <c r="BO43" i="7"/>
  <c r="BM43" i="7"/>
  <c r="BK43" i="7"/>
  <c r="AY43" i="7"/>
  <c r="BL43" i="7" s="1"/>
  <c r="AW43" i="7"/>
  <c r="AT43" i="7"/>
  <c r="BH43" i="7" s="1"/>
  <c r="AQ43" i="7"/>
  <c r="AP43" i="7"/>
  <c r="AO43" i="7"/>
  <c r="AD43" i="7"/>
  <c r="AA43" i="7"/>
  <c r="Z43" i="7"/>
  <c r="Y43" i="7"/>
  <c r="BS42" i="7"/>
  <c r="BP42" i="7"/>
  <c r="BO42" i="7"/>
  <c r="BM42" i="7"/>
  <c r="BH42" i="7"/>
  <c r="AY42" i="7"/>
  <c r="BL42" i="7" s="1"/>
  <c r="AX42" i="7"/>
  <c r="AW42" i="7"/>
  <c r="BK42" i="7" s="1"/>
  <c r="AT42" i="7"/>
  <c r="AQ42" i="7"/>
  <c r="AP42" i="7"/>
  <c r="AO42" i="7"/>
  <c r="AD42" i="7"/>
  <c r="AA42" i="7"/>
  <c r="Z42" i="7"/>
  <c r="Y42" i="7"/>
  <c r="P42" i="7"/>
  <c r="BS41" i="7"/>
  <c r="BP41" i="7"/>
  <c r="BO41" i="7"/>
  <c r="BM41" i="7"/>
  <c r="BL41" i="7"/>
  <c r="BK41" i="7"/>
  <c r="BH41" i="7"/>
  <c r="AY41" i="7"/>
  <c r="AW41" i="7"/>
  <c r="AT41" i="7"/>
  <c r="AQ41" i="7"/>
  <c r="AP41" i="7"/>
  <c r="AO41" i="7"/>
  <c r="AD41" i="7"/>
  <c r="AA41" i="7"/>
  <c r="Z41" i="7"/>
  <c r="Y41" i="7"/>
  <c r="BS40" i="7"/>
  <c r="BP40" i="7"/>
  <c r="BO40" i="7"/>
  <c r="BM40" i="7"/>
  <c r="BK40" i="7"/>
  <c r="AY40" i="7"/>
  <c r="BL40" i="7" s="1"/>
  <c r="AW40" i="7"/>
  <c r="AT40" i="7"/>
  <c r="BH40" i="7" s="1"/>
  <c r="AQ40" i="7"/>
  <c r="AP40" i="7"/>
  <c r="AO40" i="7"/>
  <c r="AD40" i="7"/>
  <c r="AA40" i="7"/>
  <c r="Z40" i="7"/>
  <c r="Y40" i="7"/>
  <c r="BS39" i="7"/>
  <c r="BO39" i="7"/>
  <c r="BM39" i="7"/>
  <c r="BH39" i="7"/>
  <c r="AT39" i="7"/>
  <c r="AQ39" i="7"/>
  <c r="AP39" i="7"/>
  <c r="AO39" i="7"/>
  <c r="AD39" i="7"/>
  <c r="AA39" i="7"/>
  <c r="Z39" i="7"/>
  <c r="Y39" i="7"/>
  <c r="BS38" i="7"/>
  <c r="BO38" i="7"/>
  <c r="BM38" i="7"/>
  <c r="BH38" i="7"/>
  <c r="AT38" i="7"/>
  <c r="AQ38" i="7"/>
  <c r="AP38" i="7"/>
  <c r="AO38" i="7"/>
  <c r="AD38" i="7"/>
  <c r="AA38" i="7"/>
  <c r="Z38" i="7"/>
  <c r="Y38" i="7"/>
  <c r="BS37" i="7"/>
  <c r="BO37" i="7"/>
  <c r="BM37" i="7"/>
  <c r="AT37" i="7"/>
  <c r="BH37" i="7" s="1"/>
  <c r="AQ37" i="7"/>
  <c r="AP37" i="7"/>
  <c r="AO37" i="7"/>
  <c r="AD37" i="7"/>
  <c r="AA37" i="7"/>
  <c r="Z37" i="7"/>
  <c r="Y37" i="7"/>
  <c r="BS36" i="7"/>
  <c r="BR36" i="7"/>
  <c r="BO36" i="7"/>
  <c r="BM36" i="7"/>
  <c r="AT36" i="7"/>
  <c r="AQ36" i="7"/>
  <c r="AP36" i="7"/>
  <c r="AO36" i="7"/>
  <c r="AD36" i="7"/>
  <c r="AA36" i="7"/>
  <c r="Z36" i="7"/>
  <c r="Y36" i="7"/>
  <c r="P36" i="7"/>
  <c r="F36" i="7"/>
  <c r="BS35" i="7"/>
  <c r="BO35" i="7"/>
  <c r="BM35" i="7"/>
  <c r="AT35" i="7"/>
  <c r="BH35" i="7" s="1"/>
  <c r="AQ35" i="7"/>
  <c r="AP35" i="7"/>
  <c r="AO35" i="7"/>
  <c r="AD35" i="7"/>
  <c r="AA35" i="7"/>
  <c r="Z35" i="7"/>
  <c r="Y35" i="7"/>
  <c r="BS34" i="7"/>
  <c r="BO34" i="7"/>
  <c r="BM34" i="7"/>
  <c r="BH34" i="7"/>
  <c r="AT34" i="7"/>
  <c r="AQ34" i="7"/>
  <c r="AP34" i="7"/>
  <c r="AO34" i="7"/>
  <c r="AD34" i="7"/>
  <c r="AA34" i="7"/>
  <c r="Z34" i="7"/>
  <c r="Y34" i="7"/>
  <c r="F34" i="7"/>
  <c r="E34" i="7"/>
  <c r="BS33" i="7"/>
  <c r="BO33" i="7"/>
  <c r="BM33" i="7"/>
  <c r="AT33" i="7"/>
  <c r="BH33" i="7" s="1"/>
  <c r="AQ33" i="7"/>
  <c r="AP33" i="7"/>
  <c r="AO33" i="7"/>
  <c r="AD33" i="7"/>
  <c r="AA33" i="7"/>
  <c r="Z33" i="7"/>
  <c r="Y33" i="7"/>
  <c r="BS32" i="7"/>
  <c r="BR32" i="7"/>
  <c r="BO32" i="7"/>
  <c r="BM32" i="7"/>
  <c r="AT32" i="7"/>
  <c r="AQ32" i="7"/>
  <c r="AP32" i="7"/>
  <c r="AO32" i="7"/>
  <c r="AD32" i="7"/>
  <c r="AA32" i="7"/>
  <c r="Z32" i="7"/>
  <c r="Y32" i="7"/>
  <c r="BS31" i="7"/>
  <c r="BO31" i="7"/>
  <c r="BM31" i="7"/>
  <c r="AT31" i="7"/>
  <c r="AQ31" i="7"/>
  <c r="AP31" i="7"/>
  <c r="AO31" i="7"/>
  <c r="AD31" i="7"/>
  <c r="AA31" i="7"/>
  <c r="Z31" i="7"/>
  <c r="Y31" i="7"/>
  <c r="BS30" i="7"/>
  <c r="BO30" i="7"/>
  <c r="BM30" i="7"/>
  <c r="BH30" i="7"/>
  <c r="AT30" i="7"/>
  <c r="AQ30" i="7"/>
  <c r="AP30" i="7"/>
  <c r="AO30" i="7"/>
  <c r="AD30" i="7"/>
  <c r="AA30" i="7"/>
  <c r="Z30" i="7"/>
  <c r="Y30" i="7"/>
  <c r="F30" i="7"/>
  <c r="BS29" i="7"/>
  <c r="BO29" i="7"/>
  <c r="BM29" i="7"/>
  <c r="AT29" i="7"/>
  <c r="AQ29" i="7"/>
  <c r="AP29" i="7"/>
  <c r="AO29" i="7"/>
  <c r="AD29" i="7"/>
  <c r="AA29" i="7"/>
  <c r="Z29" i="7"/>
  <c r="Y29" i="7"/>
  <c r="V29" i="7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O29" i="7"/>
  <c r="O30" i="7" s="1"/>
  <c r="F29" i="7"/>
  <c r="BS28" i="7"/>
  <c r="BO28" i="7"/>
  <c r="BM28" i="7"/>
  <c r="AT28" i="7"/>
  <c r="AQ28" i="7"/>
  <c r="AP28" i="7"/>
  <c r="AO28" i="7"/>
  <c r="AD28" i="7"/>
  <c r="AA28" i="7"/>
  <c r="Z28" i="7"/>
  <c r="Y28" i="7"/>
  <c r="F28" i="7"/>
  <c r="BS27" i="7"/>
  <c r="BO27" i="7"/>
  <c r="BM27" i="7"/>
  <c r="BH27" i="7"/>
  <c r="AX27" i="7"/>
  <c r="AT27" i="7"/>
  <c r="AQ27" i="7"/>
  <c r="AP27" i="7"/>
  <c r="AO27" i="7"/>
  <c r="AD27" i="7"/>
  <c r="AA27" i="7"/>
  <c r="Z27" i="7"/>
  <c r="Y27" i="7"/>
  <c r="BS26" i="7"/>
  <c r="BO26" i="7"/>
  <c r="BM26" i="7"/>
  <c r="BH26" i="7"/>
  <c r="AT26" i="7"/>
  <c r="AQ26" i="7"/>
  <c r="AP26" i="7"/>
  <c r="AO26" i="7"/>
  <c r="AD26" i="7"/>
  <c r="AA26" i="7"/>
  <c r="Z26" i="7"/>
  <c r="Y26" i="7"/>
  <c r="BS25" i="7"/>
  <c r="BO25" i="7"/>
  <c r="BM25" i="7"/>
  <c r="AT25" i="7"/>
  <c r="AQ25" i="7"/>
  <c r="AP25" i="7"/>
  <c r="AO25" i="7"/>
  <c r="AD25" i="7"/>
  <c r="AA25" i="7"/>
  <c r="Z25" i="7"/>
  <c r="Y25" i="7"/>
  <c r="BS24" i="7"/>
  <c r="BO24" i="7"/>
  <c r="BM24" i="7"/>
  <c r="BH24" i="7"/>
  <c r="AT24" i="7"/>
  <c r="AQ24" i="7"/>
  <c r="AP24" i="7"/>
  <c r="AO24" i="7"/>
  <c r="AD24" i="7"/>
  <c r="AA24" i="7"/>
  <c r="Z24" i="7"/>
  <c r="Y24" i="7"/>
  <c r="BS23" i="7"/>
  <c r="BO23" i="7"/>
  <c r="BM23" i="7"/>
  <c r="AT23" i="7"/>
  <c r="BH23" i="7" s="1"/>
  <c r="AQ23" i="7"/>
  <c r="AP23" i="7"/>
  <c r="AO23" i="7"/>
  <c r="AD23" i="7"/>
  <c r="AA23" i="7"/>
  <c r="Z23" i="7"/>
  <c r="Y23" i="7"/>
  <c r="BS22" i="7"/>
  <c r="BO22" i="7"/>
  <c r="BM22" i="7"/>
  <c r="BH22" i="7"/>
  <c r="AX22" i="7"/>
  <c r="AT22" i="7"/>
  <c r="AQ22" i="7"/>
  <c r="AP22" i="7"/>
  <c r="AO22" i="7"/>
  <c r="AD22" i="7"/>
  <c r="AA22" i="7"/>
  <c r="Z22" i="7"/>
  <c r="Y22" i="7"/>
  <c r="BS21" i="7"/>
  <c r="BO21" i="7"/>
  <c r="BM21" i="7"/>
  <c r="AT21" i="7"/>
  <c r="BH21" i="7" s="1"/>
  <c r="AQ21" i="7"/>
  <c r="AP21" i="7"/>
  <c r="AO21" i="7"/>
  <c r="AD21" i="7"/>
  <c r="AA21" i="7"/>
  <c r="Z21" i="7"/>
  <c r="Y21" i="7"/>
  <c r="BS20" i="7"/>
  <c r="BO20" i="7"/>
  <c r="BM20" i="7"/>
  <c r="BH20" i="7"/>
  <c r="AX20" i="7"/>
  <c r="AT20" i="7"/>
  <c r="AQ20" i="7"/>
  <c r="AP20" i="7"/>
  <c r="AO20" i="7"/>
  <c r="AF20" i="7"/>
  <c r="AD20" i="7"/>
  <c r="AA20" i="7"/>
  <c r="Z20" i="7"/>
  <c r="Y20" i="7"/>
  <c r="V20" i="7"/>
  <c r="V21" i="7" s="1"/>
  <c r="V22" i="7" s="1"/>
  <c r="V23" i="7" s="1"/>
  <c r="V24" i="7" s="1"/>
  <c r="V25" i="7" s="1"/>
  <c r="V26" i="7" s="1"/>
  <c r="V27" i="7" s="1"/>
  <c r="V28" i="7" s="1"/>
  <c r="F20" i="7"/>
  <c r="F21" i="7" s="1"/>
  <c r="BS19" i="7"/>
  <c r="BP19" i="7"/>
  <c r="BM19" i="7"/>
  <c r="BK19" i="7"/>
  <c r="BA19" i="7"/>
  <c r="AY19" i="7"/>
  <c r="BL19" i="7" s="1"/>
  <c r="AX19" i="7"/>
  <c r="AW19" i="7"/>
  <c r="V19" i="7"/>
  <c r="F19" i="7"/>
  <c r="BS18" i="7"/>
  <c r="BP18" i="7"/>
  <c r="BO18" i="7"/>
  <c r="BM18" i="7"/>
  <c r="BL18" i="7"/>
  <c r="BK18" i="7"/>
  <c r="BA18" i="7"/>
  <c r="AY18" i="7"/>
  <c r="AW18" i="7"/>
  <c r="AT18" i="7"/>
  <c r="AQ18" i="7"/>
  <c r="AP18" i="7"/>
  <c r="AO18" i="7"/>
  <c r="AH18" i="7"/>
  <c r="AD18" i="7"/>
  <c r="AA18" i="7"/>
  <c r="Z18" i="7"/>
  <c r="Y18" i="7"/>
  <c r="BT17" i="7" a="1"/>
  <c r="BT17" i="7"/>
  <c r="BS17" i="7"/>
  <c r="BP17" i="7"/>
  <c r="BO17" i="7"/>
  <c r="BM17" i="7"/>
  <c r="BL17" i="7"/>
  <c r="BK17" i="7"/>
  <c r="BA17" i="7"/>
  <c r="AY17" i="7"/>
  <c r="AW17" i="7"/>
  <c r="AT17" i="7"/>
  <c r="AQ17" i="7"/>
  <c r="AP17" i="7"/>
  <c r="AO17" i="7"/>
  <c r="AD17" i="7"/>
  <c r="AA17" i="7"/>
  <c r="Z17" i="7"/>
  <c r="Y17" i="7"/>
  <c r="V17" i="7"/>
  <c r="V18" i="7" s="1"/>
  <c r="O16" i="7"/>
  <c r="O107" i="6"/>
  <c r="O105" i="6"/>
  <c r="O103" i="6"/>
  <c r="P95" i="6"/>
  <c r="P91" i="6"/>
  <c r="U88" i="6" s="1"/>
  <c r="P90" i="6"/>
  <c r="P89" i="6"/>
  <c r="U87" i="6"/>
  <c r="P86" i="6"/>
  <c r="P85" i="6"/>
  <c r="P87" i="6" s="1"/>
  <c r="U84" i="6"/>
  <c r="U85" i="6" s="1"/>
  <c r="U83" i="6"/>
  <c r="P82" i="6"/>
  <c r="P81" i="6"/>
  <c r="P83" i="6" s="1"/>
  <c r="U80" i="6"/>
  <c r="U79" i="6"/>
  <c r="U81" i="6" s="1"/>
  <c r="P79" i="6"/>
  <c r="P93" i="6" s="1"/>
  <c r="P50" i="6" s="1"/>
  <c r="P77" i="6"/>
  <c r="P94" i="6" s="1"/>
  <c r="U76" i="6"/>
  <c r="P76" i="6"/>
  <c r="U75" i="6"/>
  <c r="U77" i="6" s="1"/>
  <c r="P75" i="6"/>
  <c r="F69" i="6"/>
  <c r="P67" i="6" s="1"/>
  <c r="P65" i="6"/>
  <c r="O65" i="6"/>
  <c r="BS56" i="6"/>
  <c r="BR56" i="6"/>
  <c r="BP56" i="6"/>
  <c r="BO56" i="6"/>
  <c r="BM56" i="6"/>
  <c r="BH56" i="6"/>
  <c r="AY56" i="6"/>
  <c r="BL56" i="6" s="1"/>
  <c r="AX56" i="6"/>
  <c r="AW56" i="6"/>
  <c r="BK56" i="6" s="1"/>
  <c r="AT56" i="6"/>
  <c r="AQ56" i="6"/>
  <c r="AP56" i="6"/>
  <c r="AO56" i="6"/>
  <c r="AD56" i="6"/>
  <c r="AA56" i="6"/>
  <c r="Z56" i="6"/>
  <c r="Y56" i="6"/>
  <c r="BS55" i="6"/>
  <c r="BR55" i="6"/>
  <c r="BP55" i="6"/>
  <c r="BO55" i="6"/>
  <c r="BM55" i="6"/>
  <c r="BL55" i="6"/>
  <c r="AY55" i="6"/>
  <c r="AW55" i="6"/>
  <c r="BK55" i="6" s="1"/>
  <c r="AT55" i="6"/>
  <c r="BH55" i="6" s="1"/>
  <c r="AQ55" i="6"/>
  <c r="AP55" i="6"/>
  <c r="AO55" i="6"/>
  <c r="AD55" i="6"/>
  <c r="AA55" i="6"/>
  <c r="Z55" i="6"/>
  <c r="Y55" i="6"/>
  <c r="BT54" i="6"/>
  <c r="BS54" i="6"/>
  <c r="BP54" i="6"/>
  <c r="BO54" i="6"/>
  <c r="BM54" i="6"/>
  <c r="BK54" i="6"/>
  <c r="AY54" i="6"/>
  <c r="BL54" i="6" s="1"/>
  <c r="AW54" i="6"/>
  <c r="AT54" i="6"/>
  <c r="BH54" i="6" s="1"/>
  <c r="AQ54" i="6"/>
  <c r="AP54" i="6"/>
  <c r="AO54" i="6"/>
  <c r="AD54" i="6"/>
  <c r="AA54" i="6"/>
  <c r="Z54" i="6"/>
  <c r="Y54" i="6"/>
  <c r="BS53" i="6"/>
  <c r="BP53" i="6"/>
  <c r="BO53" i="6"/>
  <c r="BM53" i="6"/>
  <c r="BL53" i="6"/>
  <c r="AY53" i="6"/>
  <c r="AW53" i="6"/>
  <c r="BK53" i="6" s="1"/>
  <c r="AT53" i="6"/>
  <c r="BH53" i="6" s="1"/>
  <c r="AR53" i="6"/>
  <c r="AQ53" i="6"/>
  <c r="AP53" i="6"/>
  <c r="AO53" i="6"/>
  <c r="AS53" i="6" s="1"/>
  <c r="AD53" i="6"/>
  <c r="AA53" i="6"/>
  <c r="Z53" i="6"/>
  <c r="Y53" i="6"/>
  <c r="BS52" i="6"/>
  <c r="BP52" i="6"/>
  <c r="BO52" i="6"/>
  <c r="BM52" i="6"/>
  <c r="BL52" i="6"/>
  <c r="AY52" i="6"/>
  <c r="AW52" i="6"/>
  <c r="BK52" i="6" s="1"/>
  <c r="AT52" i="6"/>
  <c r="AQ52" i="6"/>
  <c r="AP52" i="6"/>
  <c r="AO52" i="6"/>
  <c r="AD52" i="6"/>
  <c r="AA52" i="6"/>
  <c r="Z52" i="6"/>
  <c r="Y52" i="6"/>
  <c r="P52" i="6"/>
  <c r="BS51" i="6"/>
  <c r="BP51" i="6"/>
  <c r="BO51" i="6"/>
  <c r="BM51" i="6"/>
  <c r="BH51" i="6"/>
  <c r="AY51" i="6"/>
  <c r="BL51" i="6" s="1"/>
  <c r="AW51" i="6"/>
  <c r="BK51" i="6" s="1"/>
  <c r="AT51" i="6"/>
  <c r="AQ51" i="6"/>
  <c r="AP51" i="6"/>
  <c r="AO51" i="6"/>
  <c r="AD51" i="6"/>
  <c r="AA51" i="6"/>
  <c r="Z51" i="6"/>
  <c r="Y51" i="6"/>
  <c r="BS50" i="6"/>
  <c r="BR50" i="6"/>
  <c r="BP50" i="6"/>
  <c r="BO50" i="6"/>
  <c r="BM50" i="6"/>
  <c r="AY50" i="6"/>
  <c r="BL50" i="6" s="1"/>
  <c r="AW50" i="6"/>
  <c r="BK50" i="6" s="1"/>
  <c r="AT50" i="6"/>
  <c r="BH50" i="6" s="1"/>
  <c r="AR50" i="6"/>
  <c r="AQ50" i="6"/>
  <c r="AP50" i="6"/>
  <c r="AO50" i="6"/>
  <c r="AD50" i="6"/>
  <c r="AA50" i="6"/>
  <c r="Z50" i="6"/>
  <c r="Y50" i="6"/>
  <c r="BS49" i="6"/>
  <c r="BP49" i="6"/>
  <c r="BO49" i="6"/>
  <c r="BM49" i="6"/>
  <c r="BL49" i="6"/>
  <c r="BH49" i="6"/>
  <c r="AY49" i="6"/>
  <c r="AW49" i="6"/>
  <c r="BK49" i="6" s="1"/>
  <c r="AT49" i="6"/>
  <c r="AQ49" i="6"/>
  <c r="AP49" i="6"/>
  <c r="AO49" i="6"/>
  <c r="AF49" i="6"/>
  <c r="AD49" i="6"/>
  <c r="AA49" i="6"/>
  <c r="Z49" i="6"/>
  <c r="Y49" i="6"/>
  <c r="P49" i="6"/>
  <c r="P51" i="6" s="1"/>
  <c r="BS48" i="6"/>
  <c r="BP48" i="6"/>
  <c r="BO48" i="6"/>
  <c r="BM48" i="6"/>
  <c r="BH48" i="6"/>
  <c r="AY48" i="6"/>
  <c r="BL48" i="6" s="1"/>
  <c r="AW48" i="6"/>
  <c r="BK48" i="6" s="1"/>
  <c r="AT48" i="6"/>
  <c r="AQ48" i="6"/>
  <c r="AP48" i="6"/>
  <c r="AO48" i="6"/>
  <c r="AD48" i="6"/>
  <c r="AA48" i="6"/>
  <c r="Z48" i="6"/>
  <c r="Y48" i="6"/>
  <c r="P48" i="6"/>
  <c r="BS47" i="6"/>
  <c r="BP47" i="6"/>
  <c r="BO47" i="6"/>
  <c r="BM47" i="6"/>
  <c r="BL47" i="6"/>
  <c r="BK47" i="6"/>
  <c r="BH47" i="6"/>
  <c r="AY47" i="6"/>
  <c r="AX47" i="6"/>
  <c r="AW47" i="6"/>
  <c r="AT47" i="6"/>
  <c r="AR47" i="6"/>
  <c r="AQ47" i="6"/>
  <c r="AP47" i="6"/>
  <c r="AO47" i="6"/>
  <c r="AD47" i="6"/>
  <c r="AA47" i="6"/>
  <c r="Z47" i="6"/>
  <c r="Y47" i="6"/>
  <c r="BS46" i="6"/>
  <c r="BP46" i="6"/>
  <c r="BO46" i="6"/>
  <c r="BM46" i="6"/>
  <c r="AY46" i="6"/>
  <c r="BL46" i="6" s="1"/>
  <c r="AW46" i="6"/>
  <c r="BK46" i="6" s="1"/>
  <c r="AT46" i="6"/>
  <c r="AR46" i="6"/>
  <c r="AQ46" i="6"/>
  <c r="AP46" i="6"/>
  <c r="AO46" i="6"/>
  <c r="AD46" i="6"/>
  <c r="AA46" i="6"/>
  <c r="Z46" i="6"/>
  <c r="Y46" i="6"/>
  <c r="BT45" i="6"/>
  <c r="BS45" i="6"/>
  <c r="BP45" i="6"/>
  <c r="BO45" i="6"/>
  <c r="BM45" i="6"/>
  <c r="AY45" i="6"/>
  <c r="BL45" i="6" s="1"/>
  <c r="AW45" i="6"/>
  <c r="BK45" i="6" s="1"/>
  <c r="AT45" i="6"/>
  <c r="BH45" i="6" s="1"/>
  <c r="AR45" i="6"/>
  <c r="AQ45" i="6"/>
  <c r="AP45" i="6"/>
  <c r="AS45" i="6" s="1"/>
  <c r="AO45" i="6"/>
  <c r="AD45" i="6"/>
  <c r="AA45" i="6"/>
  <c r="Z45" i="6"/>
  <c r="Y45" i="6"/>
  <c r="BS44" i="6"/>
  <c r="BP44" i="6"/>
  <c r="BO44" i="6"/>
  <c r="BM44" i="6"/>
  <c r="BK44" i="6"/>
  <c r="AY44" i="6"/>
  <c r="BL44" i="6" s="1"/>
  <c r="AX44" i="6"/>
  <c r="AW44" i="6"/>
  <c r="AT44" i="6"/>
  <c r="BH44" i="6" s="1"/>
  <c r="AQ44" i="6"/>
  <c r="AP44" i="6"/>
  <c r="AO44" i="6"/>
  <c r="AD44" i="6"/>
  <c r="AA44" i="6"/>
  <c r="Z44" i="6"/>
  <c r="Y44" i="6"/>
  <c r="X44" i="6"/>
  <c r="BT43" i="6"/>
  <c r="BS43" i="6"/>
  <c r="BP43" i="6"/>
  <c r="BO43" i="6"/>
  <c r="BM43" i="6"/>
  <c r="BL43" i="6"/>
  <c r="AY43" i="6"/>
  <c r="AX43" i="6"/>
  <c r="AW43" i="6"/>
  <c r="BK43" i="6" s="1"/>
  <c r="AT43" i="6"/>
  <c r="AQ43" i="6"/>
  <c r="AP43" i="6"/>
  <c r="AO43" i="6"/>
  <c r="AF43" i="6"/>
  <c r="AE43" i="6"/>
  <c r="AD43" i="6"/>
  <c r="AA43" i="6"/>
  <c r="Z43" i="6"/>
  <c r="AC43" i="6" s="1"/>
  <c r="Y43" i="6"/>
  <c r="X43" i="6"/>
  <c r="AB43" i="6" s="1"/>
  <c r="BS42" i="6"/>
  <c r="BP42" i="6"/>
  <c r="BO42" i="6"/>
  <c r="BM42" i="6"/>
  <c r="BK42" i="6"/>
  <c r="BH42" i="6"/>
  <c r="AY42" i="6"/>
  <c r="BL42" i="6" s="1"/>
  <c r="AW42" i="6"/>
  <c r="AT42" i="6"/>
  <c r="AR42" i="6"/>
  <c r="AQ42" i="6"/>
  <c r="AP42" i="6"/>
  <c r="AO42" i="6"/>
  <c r="AF42" i="6"/>
  <c r="AD42" i="6"/>
  <c r="AA42" i="6"/>
  <c r="Z42" i="6"/>
  <c r="Y42" i="6"/>
  <c r="P42" i="6"/>
  <c r="BT41" i="6"/>
  <c r="BS41" i="6"/>
  <c r="BP41" i="6"/>
  <c r="BO41" i="6"/>
  <c r="BM41" i="6"/>
  <c r="BL41" i="6"/>
  <c r="AY41" i="6"/>
  <c r="AX41" i="6"/>
  <c r="AW41" i="6"/>
  <c r="BK41" i="6" s="1"/>
  <c r="AT41" i="6"/>
  <c r="BH41" i="6" s="1"/>
  <c r="AR41" i="6"/>
  <c r="AQ41" i="6"/>
  <c r="AP41" i="6"/>
  <c r="AO41" i="6"/>
  <c r="AF41" i="6"/>
  <c r="AD41" i="6"/>
  <c r="AB41" i="6"/>
  <c r="AA41" i="6"/>
  <c r="Z41" i="6"/>
  <c r="Y41" i="6"/>
  <c r="X41" i="6"/>
  <c r="AE41" i="6" s="1"/>
  <c r="BT40" i="6"/>
  <c r="BS40" i="6"/>
  <c r="BP40" i="6"/>
  <c r="BO40" i="6"/>
  <c r="BM40" i="6"/>
  <c r="BL40" i="6"/>
  <c r="BK40" i="6"/>
  <c r="AY40" i="6"/>
  <c r="AW40" i="6"/>
  <c r="AT40" i="6"/>
  <c r="BH40" i="6" s="1"/>
  <c r="AQ40" i="6"/>
  <c r="AP40" i="6"/>
  <c r="AO40" i="6"/>
  <c r="AD40" i="6"/>
  <c r="AA40" i="6"/>
  <c r="Z40" i="6"/>
  <c r="Y40" i="6"/>
  <c r="BT39" i="6"/>
  <c r="BS39" i="6"/>
  <c r="BO39" i="6"/>
  <c r="BM39" i="6"/>
  <c r="BH39" i="6"/>
  <c r="AX39" i="6"/>
  <c r="AT39" i="6"/>
  <c r="AQ39" i="6"/>
  <c r="AP39" i="6"/>
  <c r="AO39" i="6"/>
  <c r="AD39" i="6"/>
  <c r="AA39" i="6"/>
  <c r="Z39" i="6"/>
  <c r="Y39" i="6"/>
  <c r="BS38" i="6"/>
  <c r="BO38" i="6"/>
  <c r="BM38" i="6"/>
  <c r="BH38" i="6"/>
  <c r="AT38" i="6"/>
  <c r="AQ38" i="6"/>
  <c r="AP38" i="6"/>
  <c r="AO38" i="6"/>
  <c r="AF38" i="6"/>
  <c r="AD38" i="6"/>
  <c r="AA38" i="6"/>
  <c r="Z38" i="6"/>
  <c r="Y38" i="6"/>
  <c r="BS37" i="6"/>
  <c r="BO37" i="6"/>
  <c r="BM37" i="6"/>
  <c r="AX37" i="6"/>
  <c r="AT37" i="6"/>
  <c r="BH37" i="6" s="1"/>
  <c r="AQ37" i="6"/>
  <c r="AP37" i="6"/>
  <c r="AO37" i="6"/>
  <c r="AD37" i="6"/>
  <c r="AA37" i="6"/>
  <c r="Z37" i="6"/>
  <c r="Y37" i="6"/>
  <c r="X37" i="6"/>
  <c r="BS36" i="6"/>
  <c r="BR36" i="6"/>
  <c r="BO36" i="6"/>
  <c r="BM36" i="6"/>
  <c r="AT36" i="6"/>
  <c r="BH36" i="6" s="1"/>
  <c r="AQ36" i="6"/>
  <c r="AP36" i="6"/>
  <c r="AO36" i="6"/>
  <c r="AF36" i="6"/>
  <c r="AD36" i="6"/>
  <c r="AA36" i="6"/>
  <c r="Z36" i="6"/>
  <c r="Y36" i="6"/>
  <c r="F36" i="6"/>
  <c r="P36" i="6" s="1"/>
  <c r="BS35" i="6"/>
  <c r="BR35" i="6"/>
  <c r="BO35" i="6"/>
  <c r="BM35" i="6"/>
  <c r="AX35" i="6"/>
  <c r="AT35" i="6"/>
  <c r="AQ35" i="6"/>
  <c r="AP35" i="6"/>
  <c r="AO35" i="6"/>
  <c r="AF35" i="6"/>
  <c r="AD35" i="6"/>
  <c r="AA35" i="6"/>
  <c r="Z35" i="6"/>
  <c r="Y35" i="6"/>
  <c r="BS34" i="6"/>
  <c r="BO34" i="6"/>
  <c r="BM34" i="6"/>
  <c r="AT34" i="6"/>
  <c r="AQ34" i="6"/>
  <c r="AP34" i="6"/>
  <c r="AO34" i="6"/>
  <c r="AF34" i="6"/>
  <c r="AD34" i="6"/>
  <c r="AA34" i="6"/>
  <c r="Z34" i="6"/>
  <c r="Y34" i="6"/>
  <c r="X34" i="6"/>
  <c r="F34" i="6"/>
  <c r="E34" i="6"/>
  <c r="BS33" i="6"/>
  <c r="BR33" i="6"/>
  <c r="BO33" i="6"/>
  <c r="BM33" i="6"/>
  <c r="AT33" i="6"/>
  <c r="BH33" i="6" s="1"/>
  <c r="AQ33" i="6"/>
  <c r="AP33" i="6"/>
  <c r="AO33" i="6"/>
  <c r="AD33" i="6"/>
  <c r="AA33" i="6"/>
  <c r="Z33" i="6"/>
  <c r="Y33" i="6"/>
  <c r="BS32" i="6"/>
  <c r="BO32" i="6"/>
  <c r="BM32" i="6"/>
  <c r="BH32" i="6"/>
  <c r="AT32" i="6"/>
  <c r="AQ32" i="6"/>
  <c r="AP32" i="6"/>
  <c r="AO32" i="6"/>
  <c r="AD32" i="6"/>
  <c r="AA32" i="6"/>
  <c r="Z32" i="6"/>
  <c r="Y32" i="6"/>
  <c r="BS31" i="6"/>
  <c r="BR31" i="6"/>
  <c r="BO31" i="6"/>
  <c r="BM31" i="6"/>
  <c r="BH31" i="6"/>
  <c r="AX31" i="6"/>
  <c r="AT31" i="6"/>
  <c r="AQ31" i="6"/>
  <c r="AP31" i="6"/>
  <c r="AO31" i="6"/>
  <c r="AF31" i="6"/>
  <c r="AD31" i="6"/>
  <c r="AA31" i="6"/>
  <c r="Z31" i="6"/>
  <c r="Y31" i="6"/>
  <c r="BT30" i="6"/>
  <c r="BS30" i="6"/>
  <c r="BO30" i="6"/>
  <c r="BM30" i="6"/>
  <c r="AT30" i="6"/>
  <c r="AQ30" i="6"/>
  <c r="AP30" i="6"/>
  <c r="AO30" i="6"/>
  <c r="AD30" i="6"/>
  <c r="AA30" i="6"/>
  <c r="Z30" i="6"/>
  <c r="Y30" i="6"/>
  <c r="F30" i="6"/>
  <c r="BS29" i="6"/>
  <c r="BR29" i="6"/>
  <c r="BO29" i="6"/>
  <c r="BM29" i="6"/>
  <c r="AT29" i="6"/>
  <c r="BH29" i="6" s="1"/>
  <c r="AQ29" i="6"/>
  <c r="AP29" i="6"/>
  <c r="AO29" i="6"/>
  <c r="AD29" i="6"/>
  <c r="AA29" i="6"/>
  <c r="Z29" i="6"/>
  <c r="Y29" i="6"/>
  <c r="F29" i="6"/>
  <c r="F28" i="6" s="1"/>
  <c r="BS28" i="6"/>
  <c r="BO28" i="6"/>
  <c r="BM28" i="6"/>
  <c r="AX28" i="6"/>
  <c r="AT28" i="6"/>
  <c r="AQ28" i="6"/>
  <c r="AP28" i="6"/>
  <c r="AO28" i="6"/>
  <c r="AF28" i="6"/>
  <c r="AD28" i="6"/>
  <c r="AA28" i="6"/>
  <c r="Z28" i="6"/>
  <c r="Y28" i="6"/>
  <c r="X28" i="6"/>
  <c r="BS27" i="6"/>
  <c r="BR27" i="6"/>
  <c r="BO27" i="6"/>
  <c r="BM27" i="6"/>
  <c r="AT27" i="6"/>
  <c r="AQ27" i="6"/>
  <c r="AP27" i="6"/>
  <c r="AO27" i="6"/>
  <c r="AD27" i="6"/>
  <c r="AA27" i="6"/>
  <c r="Z27" i="6"/>
  <c r="Y27" i="6"/>
  <c r="BS26" i="6"/>
  <c r="BO26" i="6"/>
  <c r="BM26" i="6"/>
  <c r="AX26" i="6"/>
  <c r="AT26" i="6"/>
  <c r="AQ26" i="6"/>
  <c r="AP26" i="6"/>
  <c r="AO26" i="6"/>
  <c r="AD26" i="6"/>
  <c r="AA26" i="6"/>
  <c r="Z26" i="6"/>
  <c r="Y26" i="6"/>
  <c r="X26" i="6"/>
  <c r="BS25" i="6"/>
  <c r="BR25" i="6"/>
  <c r="BO25" i="6"/>
  <c r="BM25" i="6"/>
  <c r="BH25" i="6"/>
  <c r="AX25" i="6"/>
  <c r="AT25" i="6"/>
  <c r="AQ25" i="6"/>
  <c r="AP25" i="6"/>
  <c r="AO25" i="6"/>
  <c r="AD25" i="6"/>
  <c r="AA25" i="6"/>
  <c r="Z25" i="6"/>
  <c r="Y25" i="6"/>
  <c r="X25" i="6"/>
  <c r="BS24" i="6"/>
  <c r="BR24" i="6"/>
  <c r="BO24" i="6"/>
  <c r="BM24" i="6"/>
  <c r="AX24" i="6"/>
  <c r="AT24" i="6"/>
  <c r="AQ24" i="6"/>
  <c r="AP24" i="6"/>
  <c r="AO24" i="6"/>
  <c r="AD24" i="6"/>
  <c r="AA24" i="6"/>
  <c r="Z24" i="6"/>
  <c r="Y24" i="6"/>
  <c r="BT23" i="6"/>
  <c r="BS23" i="6"/>
  <c r="BR23" i="6"/>
  <c r="BO23" i="6"/>
  <c r="BM23" i="6"/>
  <c r="BH23" i="6"/>
  <c r="AX23" i="6"/>
  <c r="AT23" i="6"/>
  <c r="AQ23" i="6"/>
  <c r="AP23" i="6"/>
  <c r="AO23" i="6"/>
  <c r="AD23" i="6"/>
  <c r="AA23" i="6"/>
  <c r="Z23" i="6"/>
  <c r="Y23" i="6"/>
  <c r="BS22" i="6"/>
  <c r="BO22" i="6"/>
  <c r="BM22" i="6"/>
  <c r="AT22" i="6"/>
  <c r="BH22" i="6" s="1"/>
  <c r="AQ22" i="6"/>
  <c r="AP22" i="6"/>
  <c r="AO22" i="6"/>
  <c r="AD22" i="6"/>
  <c r="AA22" i="6"/>
  <c r="Z22" i="6"/>
  <c r="Y22" i="6"/>
  <c r="V22" i="6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BS21" i="6"/>
  <c r="BO21" i="6"/>
  <c r="BM21" i="6"/>
  <c r="AX21" i="6"/>
  <c r="AT21" i="6"/>
  <c r="AQ21" i="6"/>
  <c r="AP21" i="6"/>
  <c r="AO21" i="6"/>
  <c r="AF21" i="6"/>
  <c r="AD21" i="6"/>
  <c r="AC21" i="6"/>
  <c r="AB21" i="6"/>
  <c r="AA21" i="6"/>
  <c r="Z21" i="6"/>
  <c r="Y21" i="6"/>
  <c r="X21" i="6"/>
  <c r="V21" i="6"/>
  <c r="BS20" i="6"/>
  <c r="BR20" i="6"/>
  <c r="BO20" i="6"/>
  <c r="BM20" i="6"/>
  <c r="AT20" i="6"/>
  <c r="AQ20" i="6"/>
  <c r="AP20" i="6"/>
  <c r="AO20" i="6"/>
  <c r="AF20" i="6"/>
  <c r="AD20" i="6"/>
  <c r="AA20" i="6"/>
  <c r="Z20" i="6"/>
  <c r="Y20" i="6"/>
  <c r="X20" i="6"/>
  <c r="BT19" i="6"/>
  <c r="BS19" i="6"/>
  <c r="BR19" i="6"/>
  <c r="BP19" i="6"/>
  <c r="BM19" i="6"/>
  <c r="AY19" i="6"/>
  <c r="BL19" i="6" s="1"/>
  <c r="AX19" i="6"/>
  <c r="AW19" i="6"/>
  <c r="BK19" i="6" s="1"/>
  <c r="AF19" i="6"/>
  <c r="AE19" i="6"/>
  <c r="X19" i="6"/>
  <c r="AB19" i="6" s="1"/>
  <c r="F19" i="6"/>
  <c r="F20" i="6" s="1"/>
  <c r="F21" i="6" s="1"/>
  <c r="BS18" i="6"/>
  <c r="BR18" i="6"/>
  <c r="BP18" i="6"/>
  <c r="BO18" i="6"/>
  <c r="BM18" i="6"/>
  <c r="BH18" i="6"/>
  <c r="AY18" i="6"/>
  <c r="BL18" i="6" s="1"/>
  <c r="AX18" i="6"/>
  <c r="AW18" i="6"/>
  <c r="BK18" i="6" s="1"/>
  <c r="AT18" i="6"/>
  <c r="AQ18" i="6"/>
  <c r="AP18" i="6"/>
  <c r="AO18" i="6"/>
  <c r="AH18" i="6"/>
  <c r="AD18" i="6"/>
  <c r="AA18" i="6"/>
  <c r="Z18" i="6"/>
  <c r="Y18" i="6"/>
  <c r="BS17" i="6"/>
  <c r="BR17" i="6"/>
  <c r="BP17" i="6"/>
  <c r="BO17" i="6"/>
  <c r="BM17" i="6"/>
  <c r="BK17" i="6"/>
  <c r="BH17" i="6"/>
  <c r="AY17" i="6"/>
  <c r="AX17" i="6"/>
  <c r="AW17" i="6"/>
  <c r="AT17" i="6"/>
  <c r="AQ17" i="6"/>
  <c r="AP17" i="6"/>
  <c r="AO17" i="6"/>
  <c r="AH17" i="6"/>
  <c r="AF17" i="6"/>
  <c r="AD17" i="6"/>
  <c r="AA17" i="6"/>
  <c r="Z17" i="6"/>
  <c r="Y17" i="6"/>
  <c r="X17" i="6"/>
  <c r="V17" i="6"/>
  <c r="V18" i="6" s="1"/>
  <c r="V19" i="6" s="1"/>
  <c r="V20" i="6" s="1"/>
  <c r="O16" i="6"/>
  <c r="BT49" i="6" s="1"/>
  <c r="O108" i="5"/>
  <c r="O109" i="5" s="1"/>
  <c r="O107" i="5"/>
  <c r="O105" i="5"/>
  <c r="BS17" i="5" s="1"/>
  <c r="O103" i="5"/>
  <c r="P89" i="5"/>
  <c r="P88" i="5"/>
  <c r="U86" i="5"/>
  <c r="P85" i="5"/>
  <c r="P84" i="5"/>
  <c r="P86" i="5" s="1"/>
  <c r="U83" i="5"/>
  <c r="U82" i="5"/>
  <c r="U84" i="5" s="1"/>
  <c r="P82" i="5"/>
  <c r="P50" i="5" s="1"/>
  <c r="P81" i="5"/>
  <c r="P80" i="5"/>
  <c r="U79" i="5"/>
  <c r="U78" i="5"/>
  <c r="U80" i="5" s="1"/>
  <c r="P78" i="5"/>
  <c r="P92" i="5" s="1"/>
  <c r="U76" i="5"/>
  <c r="U93" i="5" s="1"/>
  <c r="P76" i="5"/>
  <c r="U75" i="5"/>
  <c r="P75" i="5"/>
  <c r="U74" i="5"/>
  <c r="P74" i="5"/>
  <c r="P67" i="5"/>
  <c r="P65" i="5"/>
  <c r="O65" i="5"/>
  <c r="BS56" i="5"/>
  <c r="BP56" i="5"/>
  <c r="BO56" i="5"/>
  <c r="BM56" i="5"/>
  <c r="AY56" i="5"/>
  <c r="BL56" i="5" s="1"/>
  <c r="AW56" i="5"/>
  <c r="BK56" i="5" s="1"/>
  <c r="AT56" i="5"/>
  <c r="BH56" i="5" s="1"/>
  <c r="AQ56" i="5"/>
  <c r="AP56" i="5"/>
  <c r="AO56" i="5"/>
  <c r="AD56" i="5"/>
  <c r="AA56" i="5"/>
  <c r="Z56" i="5"/>
  <c r="Y56" i="5"/>
  <c r="BS55" i="5"/>
  <c r="BP55" i="5"/>
  <c r="BO55" i="5"/>
  <c r="BM55" i="5"/>
  <c r="BL55" i="5"/>
  <c r="BH55" i="5"/>
  <c r="AY55" i="5"/>
  <c r="AW55" i="5"/>
  <c r="BK55" i="5" s="1"/>
  <c r="AT55" i="5"/>
  <c r="AQ55" i="5"/>
  <c r="AP55" i="5"/>
  <c r="AO55" i="5"/>
  <c r="AD55" i="5"/>
  <c r="AA55" i="5"/>
  <c r="Z55" i="5"/>
  <c r="Y55" i="5"/>
  <c r="X55" i="5"/>
  <c r="BS54" i="5"/>
  <c r="BP54" i="5"/>
  <c r="BO54" i="5"/>
  <c r="BM54" i="5"/>
  <c r="BH54" i="5"/>
  <c r="AY54" i="5"/>
  <c r="BL54" i="5" s="1"/>
  <c r="AW54" i="5"/>
  <c r="BK54" i="5" s="1"/>
  <c r="AT54" i="5"/>
  <c r="AQ54" i="5"/>
  <c r="AP54" i="5"/>
  <c r="AO54" i="5"/>
  <c r="AD54" i="5"/>
  <c r="AA54" i="5"/>
  <c r="Z54" i="5"/>
  <c r="Y54" i="5"/>
  <c r="BS53" i="5"/>
  <c r="BP53" i="5"/>
  <c r="BO53" i="5"/>
  <c r="BM53" i="5"/>
  <c r="BK53" i="5"/>
  <c r="BH53" i="5"/>
  <c r="AY53" i="5"/>
  <c r="BL53" i="5" s="1"/>
  <c r="AW53" i="5"/>
  <c r="AT53" i="5"/>
  <c r="AQ53" i="5"/>
  <c r="AP53" i="5"/>
  <c r="AO53" i="5"/>
  <c r="AF53" i="5"/>
  <c r="AD53" i="5"/>
  <c r="AA53" i="5"/>
  <c r="Z53" i="5"/>
  <c r="Y53" i="5"/>
  <c r="BS52" i="5"/>
  <c r="BP52" i="5"/>
  <c r="BO52" i="5"/>
  <c r="BM52" i="5"/>
  <c r="BH52" i="5"/>
  <c r="AY52" i="5"/>
  <c r="BL52" i="5" s="1"/>
  <c r="AW52" i="5"/>
  <c r="BK52" i="5" s="1"/>
  <c r="AT52" i="5"/>
  <c r="AQ52" i="5"/>
  <c r="AP52" i="5"/>
  <c r="AO52" i="5"/>
  <c r="AD52" i="5"/>
  <c r="AA52" i="5"/>
  <c r="Z52" i="5"/>
  <c r="Y52" i="5"/>
  <c r="P52" i="5"/>
  <c r="BS51" i="5"/>
  <c r="BP51" i="5"/>
  <c r="BO51" i="5"/>
  <c r="BM51" i="5"/>
  <c r="BL51" i="5"/>
  <c r="AY51" i="5"/>
  <c r="AW51" i="5"/>
  <c r="BK51" i="5" s="1"/>
  <c r="AT51" i="5"/>
  <c r="BH51" i="5" s="1"/>
  <c r="AR51" i="5"/>
  <c r="AS51" i="5" s="1"/>
  <c r="AQ51" i="5"/>
  <c r="AP51" i="5"/>
  <c r="AO51" i="5"/>
  <c r="AD51" i="5"/>
  <c r="AA51" i="5"/>
  <c r="Z51" i="5"/>
  <c r="Y51" i="5"/>
  <c r="BS50" i="5"/>
  <c r="BP50" i="5"/>
  <c r="BO50" i="5"/>
  <c r="BM50" i="5"/>
  <c r="BH50" i="5"/>
  <c r="AY50" i="5"/>
  <c r="BL50" i="5" s="1"/>
  <c r="AW50" i="5"/>
  <c r="BK50" i="5" s="1"/>
  <c r="AT50" i="5"/>
  <c r="AQ50" i="5"/>
  <c r="AP50" i="5"/>
  <c r="AO50" i="5"/>
  <c r="AD50" i="5"/>
  <c r="AA50" i="5"/>
  <c r="Z50" i="5"/>
  <c r="Y50" i="5"/>
  <c r="BS49" i="5"/>
  <c r="BP49" i="5"/>
  <c r="BO49" i="5"/>
  <c r="BM49" i="5"/>
  <c r="BL49" i="5"/>
  <c r="AY49" i="5"/>
  <c r="AW49" i="5"/>
  <c r="BK49" i="5" s="1"/>
  <c r="AT49" i="5"/>
  <c r="BH49" i="5" s="1"/>
  <c r="AQ49" i="5"/>
  <c r="AP49" i="5"/>
  <c r="AO49" i="5"/>
  <c r="AD49" i="5"/>
  <c r="AA49" i="5"/>
  <c r="Z49" i="5"/>
  <c r="Y49" i="5"/>
  <c r="P49" i="5"/>
  <c r="BS48" i="5"/>
  <c r="BP48" i="5"/>
  <c r="BO48" i="5"/>
  <c r="BM48" i="5"/>
  <c r="BL48" i="5"/>
  <c r="BK48" i="5"/>
  <c r="AY48" i="5"/>
  <c r="AW48" i="5"/>
  <c r="AT48" i="5"/>
  <c r="AQ48" i="5"/>
  <c r="AP48" i="5"/>
  <c r="AO48" i="5"/>
  <c r="AD48" i="5"/>
  <c r="AA48" i="5"/>
  <c r="Z48" i="5"/>
  <c r="Y48" i="5"/>
  <c r="P48" i="5"/>
  <c r="P51" i="5" s="1"/>
  <c r="BS47" i="5"/>
  <c r="BP47" i="5"/>
  <c r="BO47" i="5"/>
  <c r="BM47" i="5"/>
  <c r="BK47" i="5"/>
  <c r="BH47" i="5"/>
  <c r="AY47" i="5"/>
  <c r="BL47" i="5" s="1"/>
  <c r="AW47" i="5"/>
  <c r="AT47" i="5"/>
  <c r="AS47" i="5"/>
  <c r="AR47" i="5"/>
  <c r="AQ47" i="5"/>
  <c r="AP47" i="5"/>
  <c r="AO47" i="5"/>
  <c r="AD47" i="5"/>
  <c r="AA47" i="5"/>
  <c r="Z47" i="5"/>
  <c r="Y47" i="5"/>
  <c r="BS46" i="5"/>
  <c r="BP46" i="5"/>
  <c r="BO46" i="5"/>
  <c r="BM46" i="5"/>
  <c r="BK46" i="5"/>
  <c r="BH46" i="5"/>
  <c r="AY46" i="5"/>
  <c r="BL46" i="5" s="1"/>
  <c r="AW46" i="5"/>
  <c r="AT46" i="5"/>
  <c r="AQ46" i="5"/>
  <c r="AP46" i="5"/>
  <c r="AO46" i="5"/>
  <c r="AD46" i="5"/>
  <c r="AA46" i="5"/>
  <c r="Z46" i="5"/>
  <c r="Y46" i="5"/>
  <c r="BS45" i="5"/>
  <c r="BP45" i="5"/>
  <c r="BO45" i="5"/>
  <c r="BM45" i="5"/>
  <c r="AY45" i="5"/>
  <c r="BL45" i="5" s="1"/>
  <c r="AW45" i="5"/>
  <c r="BK45" i="5" s="1"/>
  <c r="AT45" i="5"/>
  <c r="BH45" i="5" s="1"/>
  <c r="AQ45" i="5"/>
  <c r="AP45" i="5"/>
  <c r="AO45" i="5"/>
  <c r="AD45" i="5"/>
  <c r="AA45" i="5"/>
  <c r="Z45" i="5"/>
  <c r="Y45" i="5"/>
  <c r="BS44" i="5"/>
  <c r="BP44" i="5"/>
  <c r="BO44" i="5"/>
  <c r="BM44" i="5"/>
  <c r="BK44" i="5"/>
  <c r="AY44" i="5"/>
  <c r="BL44" i="5" s="1"/>
  <c r="AW44" i="5"/>
  <c r="AT44" i="5"/>
  <c r="BH44" i="5" s="1"/>
  <c r="AQ44" i="5"/>
  <c r="AP44" i="5"/>
  <c r="AO44" i="5"/>
  <c r="AD44" i="5"/>
  <c r="AA44" i="5"/>
  <c r="Z44" i="5"/>
  <c r="Y44" i="5"/>
  <c r="BS43" i="5"/>
  <c r="BP43" i="5"/>
  <c r="BO43" i="5"/>
  <c r="BM43" i="5"/>
  <c r="BH43" i="5"/>
  <c r="AY43" i="5"/>
  <c r="BL43" i="5" s="1"/>
  <c r="AW43" i="5"/>
  <c r="BK43" i="5" s="1"/>
  <c r="AT43" i="5"/>
  <c r="AQ43" i="5"/>
  <c r="AP43" i="5"/>
  <c r="AO43" i="5"/>
  <c r="AD43" i="5"/>
  <c r="AA43" i="5"/>
  <c r="Z43" i="5"/>
  <c r="Y43" i="5"/>
  <c r="BS42" i="5"/>
  <c r="BP42" i="5"/>
  <c r="BO42" i="5"/>
  <c r="BM42" i="5"/>
  <c r="BK42" i="5"/>
  <c r="BH42" i="5"/>
  <c r="AY42" i="5"/>
  <c r="BL42" i="5" s="1"/>
  <c r="AW42" i="5"/>
  <c r="AT42" i="5"/>
  <c r="AQ42" i="5"/>
  <c r="AP42" i="5"/>
  <c r="AO42" i="5"/>
  <c r="AD42" i="5"/>
  <c r="AA42" i="5"/>
  <c r="Z42" i="5"/>
  <c r="Y42" i="5"/>
  <c r="P42" i="5"/>
  <c r="BS41" i="5"/>
  <c r="BP41" i="5"/>
  <c r="BO41" i="5"/>
  <c r="BM41" i="5"/>
  <c r="BH41" i="5"/>
  <c r="AY41" i="5"/>
  <c r="BL41" i="5" s="1"/>
  <c r="AW41" i="5"/>
  <c r="BK41" i="5" s="1"/>
  <c r="AT41" i="5"/>
  <c r="AQ41" i="5"/>
  <c r="AP41" i="5"/>
  <c r="AO41" i="5"/>
  <c r="AD41" i="5"/>
  <c r="AA41" i="5"/>
  <c r="Z41" i="5"/>
  <c r="Y41" i="5"/>
  <c r="BS40" i="5"/>
  <c r="BP40" i="5"/>
  <c r="BO40" i="5"/>
  <c r="BM40" i="5"/>
  <c r="AY40" i="5"/>
  <c r="BL40" i="5" s="1"/>
  <c r="AW40" i="5"/>
  <c r="BK40" i="5" s="1"/>
  <c r="AT40" i="5"/>
  <c r="AQ40" i="5"/>
  <c r="AP40" i="5"/>
  <c r="AO40" i="5"/>
  <c r="AD40" i="5"/>
  <c r="AA40" i="5"/>
  <c r="Z40" i="5"/>
  <c r="Y40" i="5"/>
  <c r="BS39" i="5"/>
  <c r="BO39" i="5"/>
  <c r="BM39" i="5"/>
  <c r="AT39" i="5"/>
  <c r="BH39" i="5" s="1"/>
  <c r="AQ39" i="5"/>
  <c r="AP39" i="5"/>
  <c r="AO39" i="5"/>
  <c r="AD39" i="5"/>
  <c r="AA39" i="5"/>
  <c r="Z39" i="5"/>
  <c r="Y39" i="5"/>
  <c r="BS38" i="5"/>
  <c r="BO38" i="5"/>
  <c r="BM38" i="5"/>
  <c r="AT38" i="5"/>
  <c r="BH38" i="5" s="1"/>
  <c r="AQ38" i="5"/>
  <c r="AP38" i="5"/>
  <c r="AO38" i="5"/>
  <c r="AD38" i="5"/>
  <c r="AA38" i="5"/>
  <c r="Z38" i="5"/>
  <c r="Y38" i="5"/>
  <c r="BS37" i="5"/>
  <c r="BO37" i="5"/>
  <c r="BM37" i="5"/>
  <c r="BH37" i="5"/>
  <c r="AT37" i="5"/>
  <c r="AQ37" i="5"/>
  <c r="AP37" i="5"/>
  <c r="AO37" i="5"/>
  <c r="AD37" i="5"/>
  <c r="AA37" i="5"/>
  <c r="Z37" i="5"/>
  <c r="Y37" i="5"/>
  <c r="BS36" i="5"/>
  <c r="BO36" i="5"/>
  <c r="BM36" i="5"/>
  <c r="AT36" i="5"/>
  <c r="AQ36" i="5"/>
  <c r="AP36" i="5"/>
  <c r="AO36" i="5"/>
  <c r="AD36" i="5"/>
  <c r="AA36" i="5"/>
  <c r="Z36" i="5"/>
  <c r="Y36" i="5"/>
  <c r="X36" i="5"/>
  <c r="P36" i="5"/>
  <c r="F36" i="5"/>
  <c r="BS35" i="5"/>
  <c r="BO35" i="5"/>
  <c r="BM35" i="5"/>
  <c r="AT35" i="5"/>
  <c r="BH35" i="5" s="1"/>
  <c r="AQ35" i="5"/>
  <c r="AP35" i="5"/>
  <c r="AO35" i="5"/>
  <c r="AD35" i="5"/>
  <c r="AA35" i="5"/>
  <c r="Z35" i="5"/>
  <c r="Y35" i="5"/>
  <c r="X35" i="5"/>
  <c r="BS34" i="5"/>
  <c r="BO34" i="5"/>
  <c r="BM34" i="5"/>
  <c r="AT34" i="5"/>
  <c r="AQ34" i="5"/>
  <c r="AP34" i="5"/>
  <c r="AO34" i="5"/>
  <c r="AD34" i="5"/>
  <c r="AA34" i="5"/>
  <c r="Z34" i="5"/>
  <c r="Y34" i="5"/>
  <c r="F34" i="5"/>
  <c r="E34" i="5"/>
  <c r="BS33" i="5"/>
  <c r="BO33" i="5"/>
  <c r="BM33" i="5"/>
  <c r="AT33" i="5"/>
  <c r="BH33" i="5" s="1"/>
  <c r="AQ33" i="5"/>
  <c r="AP33" i="5"/>
  <c r="AO33" i="5"/>
  <c r="AD33" i="5"/>
  <c r="AA33" i="5"/>
  <c r="Z33" i="5"/>
  <c r="Y33" i="5"/>
  <c r="BS32" i="5"/>
  <c r="BO32" i="5"/>
  <c r="BM32" i="5"/>
  <c r="BH32" i="5"/>
  <c r="AT32" i="5"/>
  <c r="AQ32" i="5"/>
  <c r="AP32" i="5"/>
  <c r="AO32" i="5"/>
  <c r="AD32" i="5"/>
  <c r="AA32" i="5"/>
  <c r="Z32" i="5"/>
  <c r="Y32" i="5"/>
  <c r="BS31" i="5"/>
  <c r="BO31" i="5"/>
  <c r="BM31" i="5"/>
  <c r="BH31" i="5"/>
  <c r="AT31" i="5"/>
  <c r="AQ31" i="5"/>
  <c r="AP31" i="5"/>
  <c r="AO31" i="5"/>
  <c r="AD31" i="5"/>
  <c r="AA31" i="5"/>
  <c r="Z31" i="5"/>
  <c r="Y31" i="5"/>
  <c r="BS30" i="5"/>
  <c r="BR30" i="5"/>
  <c r="BO30" i="5"/>
  <c r="BM30" i="5"/>
  <c r="BH30" i="5"/>
  <c r="AT30" i="5"/>
  <c r="AQ30" i="5"/>
  <c r="AP30" i="5"/>
  <c r="AO30" i="5"/>
  <c r="AD30" i="5"/>
  <c r="AA30" i="5"/>
  <c r="Z30" i="5"/>
  <c r="Y30" i="5"/>
  <c r="F30" i="5"/>
  <c r="BS29" i="5"/>
  <c r="BR29" i="5"/>
  <c r="BO29" i="5"/>
  <c r="BM29" i="5"/>
  <c r="BH29" i="5"/>
  <c r="AX29" i="5"/>
  <c r="AT29" i="5"/>
  <c r="AQ29" i="5"/>
  <c r="AP29" i="5"/>
  <c r="AO29" i="5"/>
  <c r="AD29" i="5"/>
  <c r="AA29" i="5"/>
  <c r="Z29" i="5"/>
  <c r="Y29" i="5"/>
  <c r="F29" i="5"/>
  <c r="BS28" i="5"/>
  <c r="BO28" i="5"/>
  <c r="BM28" i="5"/>
  <c r="BH28" i="5"/>
  <c r="AT28" i="5"/>
  <c r="AQ28" i="5"/>
  <c r="AP28" i="5"/>
  <c r="AO28" i="5"/>
  <c r="AD28" i="5"/>
  <c r="AA28" i="5"/>
  <c r="Z28" i="5"/>
  <c r="Y28" i="5"/>
  <c r="BS27" i="5"/>
  <c r="BO27" i="5"/>
  <c r="BM27" i="5"/>
  <c r="AT27" i="5"/>
  <c r="BH27" i="5" s="1"/>
  <c r="AQ27" i="5"/>
  <c r="AP27" i="5"/>
  <c r="AO27" i="5"/>
  <c r="AD27" i="5"/>
  <c r="AA27" i="5"/>
  <c r="Z27" i="5"/>
  <c r="Y27" i="5"/>
  <c r="BS26" i="5"/>
  <c r="BO26" i="5"/>
  <c r="BM26" i="5"/>
  <c r="AT26" i="5"/>
  <c r="AQ26" i="5"/>
  <c r="AP26" i="5"/>
  <c r="AO26" i="5"/>
  <c r="AD26" i="5"/>
  <c r="AA26" i="5"/>
  <c r="Z26" i="5"/>
  <c r="Y26" i="5"/>
  <c r="BS25" i="5"/>
  <c r="BO25" i="5"/>
  <c r="BM25" i="5"/>
  <c r="AT25" i="5"/>
  <c r="BH25" i="5" s="1"/>
  <c r="AQ25" i="5"/>
  <c r="AP25" i="5"/>
  <c r="AO25" i="5"/>
  <c r="AD25" i="5"/>
  <c r="AA25" i="5"/>
  <c r="Z25" i="5"/>
  <c r="Y25" i="5"/>
  <c r="BS24" i="5"/>
  <c r="BO24" i="5"/>
  <c r="BM24" i="5"/>
  <c r="BH24" i="5"/>
  <c r="AT24" i="5"/>
  <c r="AQ24" i="5"/>
  <c r="AP24" i="5"/>
  <c r="AO24" i="5"/>
  <c r="AD24" i="5"/>
  <c r="AA24" i="5"/>
  <c r="Z24" i="5"/>
  <c r="Y24" i="5"/>
  <c r="BS23" i="5"/>
  <c r="BO23" i="5"/>
  <c r="BM23" i="5"/>
  <c r="AX23" i="5"/>
  <c r="AT23" i="5"/>
  <c r="AQ23" i="5"/>
  <c r="AP23" i="5"/>
  <c r="AO23" i="5"/>
  <c r="AD23" i="5"/>
  <c r="AA23" i="5"/>
  <c r="Z23" i="5"/>
  <c r="Y23" i="5"/>
  <c r="BS22" i="5"/>
  <c r="BO22" i="5"/>
  <c r="BM22" i="5"/>
  <c r="AT22" i="5"/>
  <c r="AR22" i="5"/>
  <c r="AQ22" i="5"/>
  <c r="AP22" i="5"/>
  <c r="AO22" i="5"/>
  <c r="AF22" i="5"/>
  <c r="AD22" i="5"/>
  <c r="AA22" i="5"/>
  <c r="Z22" i="5"/>
  <c r="Y22" i="5"/>
  <c r="BS21" i="5"/>
  <c r="BO21" i="5"/>
  <c r="BM21" i="5"/>
  <c r="AT21" i="5"/>
  <c r="AQ21" i="5"/>
  <c r="AP21" i="5"/>
  <c r="AO21" i="5"/>
  <c r="AD21" i="5"/>
  <c r="AA21" i="5"/>
  <c r="Z21" i="5"/>
  <c r="Y21" i="5"/>
  <c r="BS20" i="5"/>
  <c r="BO20" i="5"/>
  <c r="BM20" i="5"/>
  <c r="AX20" i="5"/>
  <c r="AT20" i="5"/>
  <c r="BH20" i="5" s="1"/>
  <c r="AR20" i="5"/>
  <c r="AQ20" i="5"/>
  <c r="AP20" i="5"/>
  <c r="AO20" i="5"/>
  <c r="AD20" i="5"/>
  <c r="AA20" i="5"/>
  <c r="Z20" i="5"/>
  <c r="Y20" i="5"/>
  <c r="F20" i="5"/>
  <c r="F21" i="5" s="1"/>
  <c r="BS19" i="5"/>
  <c r="BP19" i="5"/>
  <c r="BM19" i="5"/>
  <c r="BK19" i="5"/>
  <c r="AY19" i="5"/>
  <c r="BL19" i="5" s="1"/>
  <c r="AW19" i="5"/>
  <c r="F19" i="5"/>
  <c r="BS18" i="5"/>
  <c r="BP18" i="5"/>
  <c r="BO18" i="5"/>
  <c r="BM18" i="5"/>
  <c r="BL18" i="5"/>
  <c r="BK18" i="5"/>
  <c r="BA18" i="5"/>
  <c r="AY18" i="5"/>
  <c r="AW18" i="5"/>
  <c r="AT18" i="5"/>
  <c r="BH18" i="5" s="1"/>
  <c r="AQ18" i="5"/>
  <c r="AP18" i="5"/>
  <c r="AO18" i="5"/>
  <c r="AH18" i="5"/>
  <c r="AD18" i="5"/>
  <c r="AA18" i="5"/>
  <c r="Z18" i="5"/>
  <c r="Y18" i="5"/>
  <c r="BP17" i="5"/>
  <c r="BO17" i="5"/>
  <c r="BM17" i="5"/>
  <c r="BL17" i="5"/>
  <c r="BK17" i="5"/>
  <c r="BA17" i="5"/>
  <c r="AY17" i="5"/>
  <c r="AW17" i="5"/>
  <c r="AT17" i="5"/>
  <c r="BH17" i="5" s="1"/>
  <c r="AQ17" i="5"/>
  <c r="AP17" i="5"/>
  <c r="AO17" i="5"/>
  <c r="AH17" i="5"/>
  <c r="AD17" i="5"/>
  <c r="AA17" i="5"/>
  <c r="Z17" i="5"/>
  <c r="Y17" i="5"/>
  <c r="V17" i="5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O16" i="5"/>
  <c r="O108" i="4"/>
  <c r="O109" i="4" s="1"/>
  <c r="O107" i="4"/>
  <c r="O105" i="4"/>
  <c r="BS17" i="4" s="1"/>
  <c r="O103" i="4"/>
  <c r="P92" i="4"/>
  <c r="P90" i="4"/>
  <c r="U87" i="4" s="1"/>
  <c r="P89" i="4"/>
  <c r="P88" i="4"/>
  <c r="U86" i="4"/>
  <c r="P85" i="4"/>
  <c r="P84" i="4"/>
  <c r="P86" i="4" s="1"/>
  <c r="U83" i="4"/>
  <c r="U84" i="4" s="1"/>
  <c r="U82" i="4"/>
  <c r="P81" i="4"/>
  <c r="P80" i="4"/>
  <c r="P82" i="4" s="1"/>
  <c r="U79" i="4"/>
  <c r="U78" i="4"/>
  <c r="U80" i="4" s="1"/>
  <c r="P78" i="4"/>
  <c r="U76" i="4"/>
  <c r="U93" i="4" s="1"/>
  <c r="U75" i="4"/>
  <c r="P75" i="4"/>
  <c r="U74" i="4"/>
  <c r="P74" i="4"/>
  <c r="P76" i="4" s="1"/>
  <c r="P67" i="4"/>
  <c r="P65" i="4"/>
  <c r="O65" i="4"/>
  <c r="BS56" i="4"/>
  <c r="BP56" i="4"/>
  <c r="BO56" i="4"/>
  <c r="BM56" i="4"/>
  <c r="BK56" i="4"/>
  <c r="BH56" i="4"/>
  <c r="AY56" i="4"/>
  <c r="BL56" i="4" s="1"/>
  <c r="AX56" i="4"/>
  <c r="AW56" i="4"/>
  <c r="AT56" i="4"/>
  <c r="AQ56" i="4"/>
  <c r="AP56" i="4"/>
  <c r="AO56" i="4"/>
  <c r="AF56" i="4"/>
  <c r="AE56" i="4"/>
  <c r="AD56" i="4"/>
  <c r="AA56" i="4"/>
  <c r="Z56" i="4"/>
  <c r="Y56" i="4"/>
  <c r="X56" i="4"/>
  <c r="AB56" i="4" s="1"/>
  <c r="BS55" i="4"/>
  <c r="BP55" i="4"/>
  <c r="BO55" i="4"/>
  <c r="BM55" i="4"/>
  <c r="AY55" i="4"/>
  <c r="BL55" i="4" s="1"/>
  <c r="AX55" i="4"/>
  <c r="AW55" i="4"/>
  <c r="BK55" i="4" s="1"/>
  <c r="AT55" i="4"/>
  <c r="BH55" i="4" s="1"/>
  <c r="AQ55" i="4"/>
  <c r="AP55" i="4"/>
  <c r="AO55" i="4"/>
  <c r="AD55" i="4"/>
  <c r="AA55" i="4"/>
  <c r="Z55" i="4"/>
  <c r="Y55" i="4"/>
  <c r="BS54" i="4"/>
  <c r="BP54" i="4"/>
  <c r="BO54" i="4"/>
  <c r="BM54" i="4"/>
  <c r="BL54" i="4"/>
  <c r="BK54" i="4"/>
  <c r="AY54" i="4"/>
  <c r="AW54" i="4"/>
  <c r="AT54" i="4"/>
  <c r="AQ54" i="4"/>
  <c r="AP54" i="4"/>
  <c r="AO54" i="4"/>
  <c r="AD54" i="4"/>
  <c r="AA54" i="4"/>
  <c r="Z54" i="4"/>
  <c r="Y54" i="4"/>
  <c r="BT53" i="4"/>
  <c r="BS53" i="4"/>
  <c r="BP53" i="4"/>
  <c r="BO53" i="4"/>
  <c r="BM53" i="4"/>
  <c r="BL53" i="4"/>
  <c r="AY53" i="4"/>
  <c r="AX53" i="4"/>
  <c r="AW53" i="4"/>
  <c r="BK53" i="4" s="1"/>
  <c r="AT53" i="4"/>
  <c r="AR53" i="4"/>
  <c r="AQ53" i="4"/>
  <c r="AP53" i="4"/>
  <c r="AO53" i="4"/>
  <c r="AF53" i="4"/>
  <c r="AD53" i="4"/>
  <c r="AA53" i="4"/>
  <c r="Z53" i="4"/>
  <c r="Y53" i="4"/>
  <c r="X53" i="4"/>
  <c r="BS52" i="4"/>
  <c r="BP52" i="4"/>
  <c r="BO52" i="4"/>
  <c r="BM52" i="4"/>
  <c r="BL52" i="4"/>
  <c r="BH52" i="4"/>
  <c r="AY52" i="4"/>
  <c r="AW52" i="4"/>
  <c r="BK52" i="4" s="1"/>
  <c r="AT52" i="4"/>
  <c r="AR52" i="4"/>
  <c r="AQ52" i="4"/>
  <c r="AP52" i="4"/>
  <c r="AO52" i="4"/>
  <c r="AD52" i="4"/>
  <c r="AA52" i="4"/>
  <c r="Z52" i="4"/>
  <c r="Y52" i="4"/>
  <c r="P52" i="4"/>
  <c r="BS51" i="4"/>
  <c r="BP51" i="4"/>
  <c r="BO51" i="4"/>
  <c r="BM51" i="4"/>
  <c r="BL51" i="4"/>
  <c r="BH51" i="4"/>
  <c r="AY51" i="4"/>
  <c r="AW51" i="4"/>
  <c r="BK51" i="4" s="1"/>
  <c r="AT51" i="4"/>
  <c r="AQ51" i="4"/>
  <c r="AP51" i="4"/>
  <c r="AO51" i="4"/>
  <c r="AD51" i="4"/>
  <c r="AA51" i="4"/>
  <c r="Z51" i="4"/>
  <c r="Y51" i="4"/>
  <c r="X51" i="4"/>
  <c r="BS50" i="4"/>
  <c r="BR50" i="4"/>
  <c r="BP50" i="4"/>
  <c r="BO50" i="4"/>
  <c r="BM50" i="4"/>
  <c r="BH50" i="4"/>
  <c r="AY50" i="4"/>
  <c r="BL50" i="4" s="1"/>
  <c r="AX50" i="4"/>
  <c r="AW50" i="4"/>
  <c r="BK50" i="4" s="1"/>
  <c r="AT50" i="4"/>
  <c r="AQ50" i="4"/>
  <c r="AP50" i="4"/>
  <c r="AO50" i="4"/>
  <c r="AF50" i="4"/>
  <c r="AD50" i="4"/>
  <c r="AA50" i="4"/>
  <c r="Z50" i="4"/>
  <c r="Y50" i="4"/>
  <c r="BS49" i="4"/>
  <c r="BP49" i="4"/>
  <c r="BO49" i="4"/>
  <c r="BM49" i="4"/>
  <c r="BK49" i="4"/>
  <c r="AY49" i="4"/>
  <c r="BL49" i="4" s="1"/>
  <c r="AW49" i="4"/>
  <c r="AT49" i="4"/>
  <c r="AQ49" i="4"/>
  <c r="AP49" i="4"/>
  <c r="AO49" i="4"/>
  <c r="AD49" i="4"/>
  <c r="AA49" i="4"/>
  <c r="Z49" i="4"/>
  <c r="Y49" i="4"/>
  <c r="P49" i="4"/>
  <c r="BS48" i="4"/>
  <c r="BP48" i="4"/>
  <c r="BO48" i="4"/>
  <c r="BM48" i="4"/>
  <c r="BL48" i="4"/>
  <c r="AY48" i="4"/>
  <c r="AX48" i="4"/>
  <c r="AW48" i="4"/>
  <c r="BK48" i="4" s="1"/>
  <c r="AT48" i="4"/>
  <c r="AQ48" i="4"/>
  <c r="AP48" i="4"/>
  <c r="AO48" i="4"/>
  <c r="AD48" i="4"/>
  <c r="AA48" i="4"/>
  <c r="Z48" i="4"/>
  <c r="Y48" i="4"/>
  <c r="P48" i="4"/>
  <c r="P51" i="4" s="1"/>
  <c r="BS47" i="4"/>
  <c r="BR47" i="4"/>
  <c r="BP47" i="4"/>
  <c r="BO47" i="4"/>
  <c r="BM47" i="4"/>
  <c r="BK47" i="4"/>
  <c r="AY47" i="4"/>
  <c r="BL47" i="4" s="1"/>
  <c r="AX47" i="4"/>
  <c r="AW47" i="4"/>
  <c r="AT47" i="4"/>
  <c r="BH47" i="4" s="1"/>
  <c r="AQ47" i="4"/>
  <c r="AP47" i="4"/>
  <c r="AO47" i="4"/>
  <c r="AD47" i="4"/>
  <c r="AA47" i="4"/>
  <c r="Z47" i="4"/>
  <c r="Y47" i="4"/>
  <c r="BS46" i="4"/>
  <c r="BP46" i="4"/>
  <c r="BO46" i="4"/>
  <c r="BM46" i="4"/>
  <c r="BL46" i="4"/>
  <c r="AY46" i="4"/>
  <c r="AW46" i="4"/>
  <c r="BK46" i="4" s="1"/>
  <c r="AT46" i="4"/>
  <c r="BH46" i="4" s="1"/>
  <c r="AQ46" i="4"/>
  <c r="AP46" i="4"/>
  <c r="AO46" i="4"/>
  <c r="AD46" i="4"/>
  <c r="AA46" i="4"/>
  <c r="Z46" i="4"/>
  <c r="Y46" i="4"/>
  <c r="BS45" i="4"/>
  <c r="BP45" i="4"/>
  <c r="BO45" i="4"/>
  <c r="BM45" i="4"/>
  <c r="BL45" i="4"/>
  <c r="AY45" i="4"/>
  <c r="AX45" i="4"/>
  <c r="AW45" i="4"/>
  <c r="BK45" i="4" s="1"/>
  <c r="AT45" i="4"/>
  <c r="AQ45" i="4"/>
  <c r="AP45" i="4"/>
  <c r="AO45" i="4"/>
  <c r="AF45" i="4"/>
  <c r="AD45" i="4"/>
  <c r="AA45" i="4"/>
  <c r="Z45" i="4"/>
  <c r="Y45" i="4"/>
  <c r="X45" i="4"/>
  <c r="BS44" i="4"/>
  <c r="BP44" i="4"/>
  <c r="BO44" i="4"/>
  <c r="BM44" i="4"/>
  <c r="BH44" i="4"/>
  <c r="AY44" i="4"/>
  <c r="BL44" i="4" s="1"/>
  <c r="AW44" i="4"/>
  <c r="BK44" i="4" s="1"/>
  <c r="AT44" i="4"/>
  <c r="AQ44" i="4"/>
  <c r="AP44" i="4"/>
  <c r="AO44" i="4"/>
  <c r="AF44" i="4"/>
  <c r="AD44" i="4"/>
  <c r="AA44" i="4"/>
  <c r="Z44" i="4"/>
  <c r="Y44" i="4"/>
  <c r="X44" i="4"/>
  <c r="P44" i="4"/>
  <c r="O44" i="4"/>
  <c r="BS43" i="4"/>
  <c r="BP43" i="4"/>
  <c r="BO43" i="4"/>
  <c r="BM43" i="4"/>
  <c r="AY43" i="4"/>
  <c r="BL43" i="4" s="1"/>
  <c r="AW43" i="4"/>
  <c r="BK43" i="4" s="1"/>
  <c r="AT43" i="4"/>
  <c r="AQ43" i="4"/>
  <c r="AP43" i="4"/>
  <c r="AO43" i="4"/>
  <c r="AD43" i="4"/>
  <c r="AA43" i="4"/>
  <c r="Z43" i="4"/>
  <c r="Y43" i="4"/>
  <c r="BT42" i="4"/>
  <c r="BS42" i="4"/>
  <c r="BP42" i="4"/>
  <c r="BO42" i="4"/>
  <c r="BM42" i="4"/>
  <c r="AY42" i="4"/>
  <c r="BL42" i="4" s="1"/>
  <c r="AW42" i="4"/>
  <c r="BK42" i="4" s="1"/>
  <c r="AT42" i="4"/>
  <c r="AQ42" i="4"/>
  <c r="AP42" i="4"/>
  <c r="AO42" i="4"/>
  <c r="AD42" i="4"/>
  <c r="AA42" i="4"/>
  <c r="Z42" i="4"/>
  <c r="Y42" i="4"/>
  <c r="BS41" i="4"/>
  <c r="BR41" i="4"/>
  <c r="BP41" i="4"/>
  <c r="BO41" i="4"/>
  <c r="BM41" i="4"/>
  <c r="BK41" i="4"/>
  <c r="BH41" i="4"/>
  <c r="AY41" i="4"/>
  <c r="BL41" i="4" s="1"/>
  <c r="AW41" i="4"/>
  <c r="AT41" i="4"/>
  <c r="AQ41" i="4"/>
  <c r="AP41" i="4"/>
  <c r="AO41" i="4"/>
  <c r="AF41" i="4"/>
  <c r="AD41" i="4"/>
  <c r="AA41" i="4"/>
  <c r="Z41" i="4"/>
  <c r="Y41" i="4"/>
  <c r="BT40" i="4"/>
  <c r="BS40" i="4"/>
  <c r="BP40" i="4"/>
  <c r="BO40" i="4"/>
  <c r="BM40" i="4"/>
  <c r="BL40" i="4"/>
  <c r="BK40" i="4"/>
  <c r="BH40" i="4"/>
  <c r="AY40" i="4"/>
  <c r="AX40" i="4"/>
  <c r="AW40" i="4"/>
  <c r="AT40" i="4"/>
  <c r="AR40" i="4"/>
  <c r="AQ40" i="4"/>
  <c r="AP40" i="4"/>
  <c r="AO40" i="4"/>
  <c r="AF40" i="4"/>
  <c r="AE40" i="4"/>
  <c r="AI40" i="4" s="1"/>
  <c r="AD40" i="4"/>
  <c r="AB40" i="4"/>
  <c r="AC40" i="4" s="1"/>
  <c r="AJ40" i="4" s="1"/>
  <c r="AA40" i="4"/>
  <c r="Z40" i="4"/>
  <c r="Y40" i="4"/>
  <c r="X40" i="4"/>
  <c r="BS39" i="4"/>
  <c r="BP39" i="4"/>
  <c r="BO39" i="4"/>
  <c r="BM39" i="4"/>
  <c r="AY39" i="4"/>
  <c r="BL39" i="4" s="1"/>
  <c r="AW39" i="4"/>
  <c r="BK39" i="4" s="1"/>
  <c r="AT39" i="4"/>
  <c r="AQ39" i="4"/>
  <c r="AP39" i="4"/>
  <c r="AO39" i="4"/>
  <c r="AD39" i="4"/>
  <c r="AA39" i="4"/>
  <c r="Z39" i="4"/>
  <c r="Y39" i="4"/>
  <c r="BS38" i="4"/>
  <c r="BP38" i="4"/>
  <c r="BO38" i="4"/>
  <c r="BM38" i="4"/>
  <c r="BH38" i="4"/>
  <c r="AY38" i="4"/>
  <c r="BL38" i="4" s="1"/>
  <c r="AW38" i="4"/>
  <c r="BK38" i="4" s="1"/>
  <c r="AT38" i="4"/>
  <c r="AQ38" i="4"/>
  <c r="AP38" i="4"/>
  <c r="AO38" i="4"/>
  <c r="AF38" i="4"/>
  <c r="AE38" i="4"/>
  <c r="AD38" i="4"/>
  <c r="AA38" i="4"/>
  <c r="Z38" i="4"/>
  <c r="Y38" i="4"/>
  <c r="X38" i="4"/>
  <c r="AB38" i="4" s="1"/>
  <c r="BS37" i="4"/>
  <c r="BR37" i="4"/>
  <c r="BP37" i="4"/>
  <c r="BO37" i="4"/>
  <c r="BM37" i="4"/>
  <c r="BL37" i="4"/>
  <c r="BH37" i="4"/>
  <c r="AY37" i="4"/>
  <c r="AX37" i="4"/>
  <c r="AW37" i="4"/>
  <c r="BK37" i="4" s="1"/>
  <c r="AT37" i="4"/>
  <c r="AQ37" i="4"/>
  <c r="AP37" i="4"/>
  <c r="AO37" i="4"/>
  <c r="AD37" i="4"/>
  <c r="AA37" i="4"/>
  <c r="Z37" i="4"/>
  <c r="Y37" i="4"/>
  <c r="X37" i="4"/>
  <c r="BT36" i="4"/>
  <c r="BS36" i="4"/>
  <c r="BP36" i="4"/>
  <c r="BO36" i="4"/>
  <c r="BM36" i="4"/>
  <c r="BL36" i="4"/>
  <c r="BK36" i="4"/>
  <c r="AY36" i="4"/>
  <c r="AX36" i="4"/>
  <c r="AW36" i="4"/>
  <c r="AT36" i="4"/>
  <c r="BH36" i="4" s="1"/>
  <c r="AQ36" i="4"/>
  <c r="AP36" i="4"/>
  <c r="AO36" i="4"/>
  <c r="AF36" i="4"/>
  <c r="AD36" i="4"/>
  <c r="AA36" i="4"/>
  <c r="Z36" i="4"/>
  <c r="Y36" i="4"/>
  <c r="X36" i="4"/>
  <c r="P36" i="4"/>
  <c r="F36" i="4"/>
  <c r="BS35" i="4"/>
  <c r="BP35" i="4"/>
  <c r="BO35" i="4"/>
  <c r="BM35" i="4"/>
  <c r="AY35" i="4"/>
  <c r="BL35" i="4" s="1"/>
  <c r="AW35" i="4"/>
  <c r="BK35" i="4" s="1"/>
  <c r="AT35" i="4"/>
  <c r="BH35" i="4" s="1"/>
  <c r="AQ35" i="4"/>
  <c r="AP35" i="4"/>
  <c r="AO35" i="4"/>
  <c r="AD35" i="4"/>
  <c r="AA35" i="4"/>
  <c r="Z35" i="4"/>
  <c r="Y35" i="4"/>
  <c r="BS34" i="4"/>
  <c r="BP34" i="4"/>
  <c r="BO34" i="4"/>
  <c r="BM34" i="4"/>
  <c r="BL34" i="4"/>
  <c r="BH34" i="4"/>
  <c r="AY34" i="4"/>
  <c r="AW34" i="4"/>
  <c r="BK34" i="4" s="1"/>
  <c r="AT34" i="4"/>
  <c r="AQ34" i="4"/>
  <c r="AP34" i="4"/>
  <c r="AO34" i="4"/>
  <c r="AD34" i="4"/>
  <c r="AA34" i="4"/>
  <c r="Z34" i="4"/>
  <c r="Y34" i="4"/>
  <c r="F34" i="4"/>
  <c r="E34" i="4"/>
  <c r="BT33" i="4"/>
  <c r="BS33" i="4"/>
  <c r="BP33" i="4"/>
  <c r="BO33" i="4"/>
  <c r="BM33" i="4"/>
  <c r="BL33" i="4"/>
  <c r="BK33" i="4"/>
  <c r="AY33" i="4"/>
  <c r="AW33" i="4"/>
  <c r="AT33" i="4"/>
  <c r="AQ33" i="4"/>
  <c r="AP33" i="4"/>
  <c r="AO33" i="4"/>
  <c r="AD33" i="4"/>
  <c r="AA33" i="4"/>
  <c r="Z33" i="4"/>
  <c r="Y33" i="4"/>
  <c r="X33" i="4"/>
  <c r="BS32" i="4"/>
  <c r="BP32" i="4"/>
  <c r="BO32" i="4"/>
  <c r="BM32" i="4"/>
  <c r="BL32" i="4"/>
  <c r="BH32" i="4"/>
  <c r="AY32" i="4"/>
  <c r="AX32" i="4"/>
  <c r="AW32" i="4"/>
  <c r="BK32" i="4" s="1"/>
  <c r="AT32" i="4"/>
  <c r="AQ32" i="4"/>
  <c r="AP32" i="4"/>
  <c r="AO32" i="4"/>
  <c r="AD32" i="4"/>
  <c r="AA32" i="4"/>
  <c r="Z32" i="4"/>
  <c r="Y32" i="4"/>
  <c r="BT31" i="4"/>
  <c r="BS31" i="4"/>
  <c r="BP31" i="4"/>
  <c r="BO31" i="4"/>
  <c r="BM31" i="4"/>
  <c r="BL31" i="4"/>
  <c r="BK31" i="4"/>
  <c r="AY31" i="4"/>
  <c r="AW31" i="4"/>
  <c r="AT31" i="4"/>
  <c r="AR31" i="4"/>
  <c r="AS31" i="4" s="1"/>
  <c r="AQ31" i="4"/>
  <c r="AP31" i="4"/>
  <c r="AO31" i="4"/>
  <c r="AF31" i="4"/>
  <c r="AD31" i="4"/>
  <c r="AA31" i="4"/>
  <c r="Z31" i="4"/>
  <c r="Y31" i="4"/>
  <c r="X31" i="4"/>
  <c r="BT30" i="4"/>
  <c r="BS30" i="4"/>
  <c r="BR30" i="4"/>
  <c r="BP30" i="4"/>
  <c r="BO30" i="4"/>
  <c r="BM30" i="4"/>
  <c r="BL30" i="4"/>
  <c r="BH30" i="4"/>
  <c r="AY30" i="4"/>
  <c r="AX30" i="4"/>
  <c r="AW30" i="4"/>
  <c r="BK30" i="4" s="1"/>
  <c r="AT30" i="4"/>
  <c r="AR30" i="4"/>
  <c r="AQ30" i="4"/>
  <c r="AP30" i="4"/>
  <c r="AO30" i="4"/>
  <c r="AS30" i="4" s="1"/>
  <c r="AF30" i="4"/>
  <c r="AD30" i="4"/>
  <c r="AA30" i="4"/>
  <c r="Z30" i="4"/>
  <c r="Y30" i="4"/>
  <c r="X30" i="4"/>
  <c r="F30" i="4"/>
  <c r="BT29" i="4"/>
  <c r="BS29" i="4"/>
  <c r="BR29" i="4"/>
  <c r="BP29" i="4"/>
  <c r="BO29" i="4"/>
  <c r="BM29" i="4"/>
  <c r="BL29" i="4"/>
  <c r="BK29" i="4"/>
  <c r="BH29" i="4"/>
  <c r="AY29" i="4"/>
  <c r="AX29" i="4"/>
  <c r="AW29" i="4"/>
  <c r="AT29" i="4"/>
  <c r="AR29" i="4"/>
  <c r="AQ29" i="4"/>
  <c r="AP29" i="4"/>
  <c r="AO29" i="4"/>
  <c r="AF29" i="4"/>
  <c r="AE29" i="4"/>
  <c r="AD29" i="4"/>
  <c r="AC29" i="4"/>
  <c r="AA29" i="4"/>
  <c r="Z29" i="4"/>
  <c r="Y29" i="4"/>
  <c r="X29" i="4"/>
  <c r="AB29" i="4" s="1"/>
  <c r="F29" i="4"/>
  <c r="F28" i="4" s="1"/>
  <c r="BS28" i="4"/>
  <c r="BP28" i="4"/>
  <c r="BO28" i="4"/>
  <c r="BM28" i="4"/>
  <c r="BH28" i="4"/>
  <c r="AY28" i="4"/>
  <c r="BL28" i="4" s="1"/>
  <c r="AX28" i="4"/>
  <c r="AW28" i="4"/>
  <c r="BK28" i="4" s="1"/>
  <c r="AT28" i="4"/>
  <c r="AR28" i="4"/>
  <c r="AQ28" i="4"/>
  <c r="AP28" i="4"/>
  <c r="AO28" i="4"/>
  <c r="AS28" i="4" s="1"/>
  <c r="AF28" i="4"/>
  <c r="AD28" i="4"/>
  <c r="AA28" i="4"/>
  <c r="Z28" i="4"/>
  <c r="Y28" i="4"/>
  <c r="X28" i="4"/>
  <c r="V28" i="4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BS27" i="4"/>
  <c r="BR27" i="4"/>
  <c r="BP27" i="4"/>
  <c r="BO27" i="4"/>
  <c r="BM27" i="4"/>
  <c r="AY27" i="4"/>
  <c r="BL27" i="4" s="1"/>
  <c r="AX27" i="4"/>
  <c r="AW27" i="4"/>
  <c r="BK27" i="4" s="1"/>
  <c r="AT27" i="4"/>
  <c r="BH27" i="4" s="1"/>
  <c r="AQ27" i="4"/>
  <c r="AP27" i="4"/>
  <c r="AO27" i="4"/>
  <c r="AD27" i="4"/>
  <c r="AA27" i="4"/>
  <c r="Z27" i="4"/>
  <c r="Y27" i="4"/>
  <c r="BT26" i="4"/>
  <c r="BS26" i="4"/>
  <c r="BP26" i="4"/>
  <c r="BO26" i="4"/>
  <c r="BM26" i="4"/>
  <c r="BL26" i="4"/>
  <c r="AY26" i="4"/>
  <c r="AW26" i="4"/>
  <c r="BK26" i="4" s="1"/>
  <c r="AT26" i="4"/>
  <c r="BH26" i="4" s="1"/>
  <c r="AR26" i="4"/>
  <c r="AS26" i="4" s="1"/>
  <c r="AQ26" i="4"/>
  <c r="AP26" i="4"/>
  <c r="AO26" i="4"/>
  <c r="AD26" i="4"/>
  <c r="AA26" i="4"/>
  <c r="Z26" i="4"/>
  <c r="Y26" i="4"/>
  <c r="BT25" i="4"/>
  <c r="BS25" i="4"/>
  <c r="BP25" i="4"/>
  <c r="BO25" i="4"/>
  <c r="BM25" i="4"/>
  <c r="BL25" i="4"/>
  <c r="BK25" i="4"/>
  <c r="BH25" i="4"/>
  <c r="AY25" i="4"/>
  <c r="AX25" i="4"/>
  <c r="AW25" i="4"/>
  <c r="AT25" i="4"/>
  <c r="AQ25" i="4"/>
  <c r="AP25" i="4"/>
  <c r="AO25" i="4"/>
  <c r="AF25" i="4"/>
  <c r="AE25" i="4"/>
  <c r="AD25" i="4"/>
  <c r="AI25" i="4" s="1"/>
  <c r="AC25" i="4"/>
  <c r="AA25" i="4"/>
  <c r="Z25" i="4"/>
  <c r="Y25" i="4"/>
  <c r="X25" i="4"/>
  <c r="AB25" i="4" s="1"/>
  <c r="BS24" i="4"/>
  <c r="BP24" i="4"/>
  <c r="BO24" i="4"/>
  <c r="BM24" i="4"/>
  <c r="BH24" i="4"/>
  <c r="AY24" i="4"/>
  <c r="BL24" i="4" s="1"/>
  <c r="AX24" i="4"/>
  <c r="AW24" i="4"/>
  <c r="BK24" i="4" s="1"/>
  <c r="AT24" i="4"/>
  <c r="AQ24" i="4"/>
  <c r="AP24" i="4"/>
  <c r="AO24" i="4"/>
  <c r="AD24" i="4"/>
  <c r="AA24" i="4"/>
  <c r="Z24" i="4"/>
  <c r="Y24" i="4"/>
  <c r="BT23" i="4"/>
  <c r="BS23" i="4"/>
  <c r="BP23" i="4"/>
  <c r="BO23" i="4"/>
  <c r="BM23" i="4"/>
  <c r="BL23" i="4"/>
  <c r="BK23" i="4"/>
  <c r="BH23" i="4"/>
  <c r="AY23" i="4"/>
  <c r="AW23" i="4"/>
  <c r="AT23" i="4"/>
  <c r="AQ23" i="4"/>
  <c r="AP23" i="4"/>
  <c r="AO23" i="4"/>
  <c r="AD23" i="4"/>
  <c r="AA23" i="4"/>
  <c r="Z23" i="4"/>
  <c r="Y23" i="4"/>
  <c r="BT22" i="4"/>
  <c r="BS22" i="4"/>
  <c r="BP22" i="4"/>
  <c r="BO22" i="4"/>
  <c r="BM22" i="4"/>
  <c r="BL22" i="4"/>
  <c r="BK22" i="4"/>
  <c r="AY22" i="4"/>
  <c r="AW22" i="4"/>
  <c r="AT22" i="4"/>
  <c r="BH22" i="4" s="1"/>
  <c r="AR22" i="4"/>
  <c r="AS22" i="4" s="1"/>
  <c r="AQ22" i="4"/>
  <c r="AP22" i="4"/>
  <c r="AO22" i="4"/>
  <c r="AF22" i="4"/>
  <c r="AD22" i="4"/>
  <c r="AA22" i="4"/>
  <c r="Z22" i="4"/>
  <c r="Y22" i="4"/>
  <c r="X22" i="4"/>
  <c r="BS21" i="4"/>
  <c r="BR21" i="4"/>
  <c r="BP21" i="4"/>
  <c r="BO21" i="4"/>
  <c r="BM21" i="4"/>
  <c r="BK21" i="4"/>
  <c r="BH21" i="4"/>
  <c r="AY21" i="4"/>
  <c r="BL21" i="4" s="1"/>
  <c r="AX21" i="4"/>
  <c r="AW21" i="4"/>
  <c r="AT21" i="4"/>
  <c r="AQ21" i="4"/>
  <c r="AP21" i="4"/>
  <c r="AO21" i="4"/>
  <c r="AF21" i="4"/>
  <c r="AD21" i="4"/>
  <c r="AA21" i="4"/>
  <c r="Z21" i="4"/>
  <c r="Y21" i="4"/>
  <c r="X21" i="4"/>
  <c r="F21" i="4"/>
  <c r="BS20" i="4"/>
  <c r="BR20" i="4"/>
  <c r="BP20" i="4"/>
  <c r="BO20" i="4"/>
  <c r="BM20" i="4"/>
  <c r="BL20" i="4"/>
  <c r="BK20" i="4"/>
  <c r="BH20" i="4"/>
  <c r="AY20" i="4"/>
  <c r="AX20" i="4"/>
  <c r="AW20" i="4"/>
  <c r="AT20" i="4"/>
  <c r="AS20" i="4"/>
  <c r="AR20" i="4"/>
  <c r="AQ20" i="4"/>
  <c r="AP20" i="4"/>
  <c r="AO20" i="4"/>
  <c r="AF20" i="4"/>
  <c r="AD20" i="4"/>
  <c r="AA20" i="4"/>
  <c r="Z20" i="4"/>
  <c r="Y20" i="4"/>
  <c r="X20" i="4"/>
  <c r="F20" i="4"/>
  <c r="BS19" i="4"/>
  <c r="BR19" i="4"/>
  <c r="BP19" i="4"/>
  <c r="BM19" i="4"/>
  <c r="BL19" i="4"/>
  <c r="AY19" i="4"/>
  <c r="AX19" i="4"/>
  <c r="AW19" i="4"/>
  <c r="BK19" i="4" s="1"/>
  <c r="F19" i="4"/>
  <c r="BS18" i="4"/>
  <c r="BP18" i="4"/>
  <c r="BO18" i="4"/>
  <c r="BM18" i="4"/>
  <c r="BK18" i="4"/>
  <c r="BA18" i="4"/>
  <c r="AY18" i="4"/>
  <c r="BL18" i="4" s="1"/>
  <c r="AW18" i="4"/>
  <c r="AT18" i="4"/>
  <c r="BH18" i="4" s="1"/>
  <c r="AQ18" i="4"/>
  <c r="AP18" i="4"/>
  <c r="AO18" i="4"/>
  <c r="AD18" i="4"/>
  <c r="AA18" i="4"/>
  <c r="Z18" i="4"/>
  <c r="Y18" i="4"/>
  <c r="X18" i="4"/>
  <c r="V18" i="4"/>
  <c r="V19" i="4" s="1"/>
  <c r="V20" i="4" s="1"/>
  <c r="V21" i="4" s="1"/>
  <c r="V22" i="4" s="1"/>
  <c r="V23" i="4" s="1"/>
  <c r="V24" i="4" s="1"/>
  <c r="V25" i="4" s="1"/>
  <c r="V26" i="4" s="1"/>
  <c r="V27" i="4" s="1"/>
  <c r="BP17" i="4"/>
  <c r="BP58" i="4" s="1"/>
  <c r="BO17" i="4"/>
  <c r="BM17" i="4"/>
  <c r="AY17" i="4"/>
  <c r="AW17" i="4"/>
  <c r="AT17" i="4"/>
  <c r="AQ17" i="4"/>
  <c r="AP17" i="4"/>
  <c r="AO17" i="4"/>
  <c r="AD17" i="4"/>
  <c r="AA17" i="4"/>
  <c r="Z17" i="4"/>
  <c r="Y17" i="4"/>
  <c r="V17" i="4"/>
  <c r="O16" i="4"/>
  <c r="O108" i="3"/>
  <c r="O109" i="3" s="1"/>
  <c r="O107" i="3"/>
  <c r="O105" i="3"/>
  <c r="O103" i="3"/>
  <c r="P92" i="3"/>
  <c r="P90" i="3"/>
  <c r="U87" i="3" s="1"/>
  <c r="P89" i="3"/>
  <c r="P88" i="3"/>
  <c r="U86" i="3"/>
  <c r="P85" i="3"/>
  <c r="P84" i="3"/>
  <c r="P86" i="3" s="1"/>
  <c r="U83" i="3"/>
  <c r="U82" i="3"/>
  <c r="U84" i="3" s="1"/>
  <c r="P82" i="3"/>
  <c r="P50" i="3" s="1"/>
  <c r="P81" i="3"/>
  <c r="P80" i="3"/>
  <c r="U79" i="3"/>
  <c r="U78" i="3"/>
  <c r="U80" i="3" s="1"/>
  <c r="P78" i="3"/>
  <c r="U76" i="3"/>
  <c r="P76" i="3"/>
  <c r="U75" i="3"/>
  <c r="P75" i="3"/>
  <c r="U74" i="3"/>
  <c r="P74" i="3"/>
  <c r="P67" i="3"/>
  <c r="P65" i="3"/>
  <c r="O65" i="3"/>
  <c r="BS56" i="3"/>
  <c r="BP56" i="3"/>
  <c r="BO56" i="3"/>
  <c r="BM56" i="3"/>
  <c r="BK56" i="3"/>
  <c r="AY56" i="3"/>
  <c r="BL56" i="3" s="1"/>
  <c r="AW56" i="3"/>
  <c r="AT56" i="3"/>
  <c r="AQ56" i="3"/>
  <c r="AP56" i="3"/>
  <c r="AO56" i="3"/>
  <c r="AD56" i="3"/>
  <c r="AA56" i="3"/>
  <c r="Z56" i="3"/>
  <c r="Y56" i="3"/>
  <c r="X56" i="3"/>
  <c r="BS55" i="3"/>
  <c r="BP55" i="3"/>
  <c r="BO55" i="3"/>
  <c r="BM55" i="3"/>
  <c r="BL55" i="3"/>
  <c r="AY55" i="3"/>
  <c r="AW55" i="3"/>
  <c r="BK55" i="3" s="1"/>
  <c r="AT55" i="3"/>
  <c r="BH55" i="3" s="1"/>
  <c r="AQ55" i="3"/>
  <c r="AP55" i="3"/>
  <c r="AO55" i="3"/>
  <c r="AD55" i="3"/>
  <c r="AA55" i="3"/>
  <c r="Z55" i="3"/>
  <c r="Y55" i="3"/>
  <c r="BS54" i="3"/>
  <c r="BP54" i="3"/>
  <c r="BO54" i="3"/>
  <c r="BM54" i="3"/>
  <c r="BH54" i="3"/>
  <c r="AY54" i="3"/>
  <c r="BL54" i="3" s="1"/>
  <c r="AW54" i="3"/>
  <c r="BK54" i="3" s="1"/>
  <c r="AT54" i="3"/>
  <c r="AQ54" i="3"/>
  <c r="AP54" i="3"/>
  <c r="AO54" i="3"/>
  <c r="AD54" i="3"/>
  <c r="AA54" i="3"/>
  <c r="Z54" i="3"/>
  <c r="Y54" i="3"/>
  <c r="BT53" i="3"/>
  <c r="BS53" i="3"/>
  <c r="BP53" i="3"/>
  <c r="BO53" i="3"/>
  <c r="BM53" i="3"/>
  <c r="BL53" i="3"/>
  <c r="BK53" i="3"/>
  <c r="AY53" i="3"/>
  <c r="AW53" i="3"/>
  <c r="AT53" i="3"/>
  <c r="BH53" i="3" s="1"/>
  <c r="AS53" i="3"/>
  <c r="AR53" i="3"/>
  <c r="AQ53" i="3"/>
  <c r="AP53" i="3"/>
  <c r="AO53" i="3"/>
  <c r="AF53" i="3"/>
  <c r="AD53" i="3"/>
  <c r="AA53" i="3"/>
  <c r="Z53" i="3"/>
  <c r="Y53" i="3"/>
  <c r="X53" i="3"/>
  <c r="BT52" i="3"/>
  <c r="BS52" i="3"/>
  <c r="BP52" i="3"/>
  <c r="BO52" i="3"/>
  <c r="BM52" i="3"/>
  <c r="AY52" i="3"/>
  <c r="BL52" i="3" s="1"/>
  <c r="AW52" i="3"/>
  <c r="BK52" i="3" s="1"/>
  <c r="AT52" i="3"/>
  <c r="BH52" i="3" s="1"/>
  <c r="AQ52" i="3"/>
  <c r="AP52" i="3"/>
  <c r="AO52" i="3"/>
  <c r="AD52" i="3"/>
  <c r="AA52" i="3"/>
  <c r="Z52" i="3"/>
  <c r="Y52" i="3"/>
  <c r="P52" i="3"/>
  <c r="BS51" i="3"/>
  <c r="BP51" i="3"/>
  <c r="BO51" i="3"/>
  <c r="BM51" i="3"/>
  <c r="BL51" i="3"/>
  <c r="BH51" i="3"/>
  <c r="AY51" i="3"/>
  <c r="AX51" i="3"/>
  <c r="AW51" i="3"/>
  <c r="BK51" i="3" s="1"/>
  <c r="AT51" i="3"/>
  <c r="AQ51" i="3"/>
  <c r="AP51" i="3"/>
  <c r="AO51" i="3"/>
  <c r="AF51" i="3"/>
  <c r="AD51" i="3"/>
  <c r="AA51" i="3"/>
  <c r="Z51" i="3"/>
  <c r="Y51" i="3"/>
  <c r="X51" i="3"/>
  <c r="P51" i="3"/>
  <c r="BS50" i="3"/>
  <c r="BR50" i="3"/>
  <c r="BP50" i="3"/>
  <c r="BO50" i="3"/>
  <c r="BM50" i="3"/>
  <c r="BH50" i="3"/>
  <c r="AY50" i="3"/>
  <c r="BL50" i="3" s="1"/>
  <c r="AW50" i="3"/>
  <c r="BK50" i="3" s="1"/>
  <c r="AT50" i="3"/>
  <c r="AR50" i="3"/>
  <c r="AQ50" i="3"/>
  <c r="AP50" i="3"/>
  <c r="AO50" i="3"/>
  <c r="AF50" i="3"/>
  <c r="AD50" i="3"/>
  <c r="AA50" i="3"/>
  <c r="Z50" i="3"/>
  <c r="Y50" i="3"/>
  <c r="BT49" i="3"/>
  <c r="BS49" i="3"/>
  <c r="BP49" i="3"/>
  <c r="BO49" i="3"/>
  <c r="BM49" i="3"/>
  <c r="BK49" i="3"/>
  <c r="AY49" i="3"/>
  <c r="BL49" i="3" s="1"/>
  <c r="AW49" i="3"/>
  <c r="AT49" i="3"/>
  <c r="BH49" i="3" s="1"/>
  <c r="AQ49" i="3"/>
  <c r="AP49" i="3"/>
  <c r="AO49" i="3"/>
  <c r="AD49" i="3"/>
  <c r="AA49" i="3"/>
  <c r="Z49" i="3"/>
  <c r="Y49" i="3"/>
  <c r="P49" i="3"/>
  <c r="BT48" i="3"/>
  <c r="BS48" i="3"/>
  <c r="BP48" i="3"/>
  <c r="BO48" i="3"/>
  <c r="BM48" i="3"/>
  <c r="BL48" i="3"/>
  <c r="AY48" i="3"/>
  <c r="AX48" i="3"/>
  <c r="AW48" i="3"/>
  <c r="BK48" i="3" s="1"/>
  <c r="AT48" i="3"/>
  <c r="AQ48" i="3"/>
  <c r="AP48" i="3"/>
  <c r="AO48" i="3"/>
  <c r="AF48" i="3"/>
  <c r="AE48" i="3"/>
  <c r="AD48" i="3"/>
  <c r="AA48" i="3"/>
  <c r="Z48" i="3"/>
  <c r="Y48" i="3"/>
  <c r="X48" i="3"/>
  <c r="AB48" i="3" s="1"/>
  <c r="AC48" i="3" s="1"/>
  <c r="P48" i="3"/>
  <c r="BS47" i="3"/>
  <c r="BR47" i="3"/>
  <c r="BP47" i="3"/>
  <c r="BO47" i="3"/>
  <c r="BM47" i="3"/>
  <c r="BK47" i="3"/>
  <c r="BH47" i="3"/>
  <c r="AY47" i="3"/>
  <c r="BL47" i="3" s="1"/>
  <c r="AW47" i="3"/>
  <c r="AT47" i="3"/>
  <c r="AR47" i="3"/>
  <c r="AQ47" i="3"/>
  <c r="AP47" i="3"/>
  <c r="AS47" i="3" s="1"/>
  <c r="AO47" i="3"/>
  <c r="AF47" i="3"/>
  <c r="AD47" i="3"/>
  <c r="AA47" i="3"/>
  <c r="Z47" i="3"/>
  <c r="Y47" i="3"/>
  <c r="BT46" i="3"/>
  <c r="BS46" i="3"/>
  <c r="BR46" i="3"/>
  <c r="BU46" i="3" s="1"/>
  <c r="BP46" i="3"/>
  <c r="BO46" i="3"/>
  <c r="BM46" i="3"/>
  <c r="BL46" i="3"/>
  <c r="BK46" i="3"/>
  <c r="AY46" i="3"/>
  <c r="AW46" i="3"/>
  <c r="AT46" i="3"/>
  <c r="AQ46" i="3"/>
  <c r="AP46" i="3"/>
  <c r="AO46" i="3"/>
  <c r="AD46" i="3"/>
  <c r="AA46" i="3"/>
  <c r="Z46" i="3"/>
  <c r="Y46" i="3"/>
  <c r="BT45" i="3"/>
  <c r="BS45" i="3"/>
  <c r="BP45" i="3"/>
  <c r="BO45" i="3"/>
  <c r="BM45" i="3"/>
  <c r="BL45" i="3"/>
  <c r="AY45" i="3"/>
  <c r="AW45" i="3"/>
  <c r="BK45" i="3" s="1"/>
  <c r="AT45" i="3"/>
  <c r="BH45" i="3" s="1"/>
  <c r="AQ45" i="3"/>
  <c r="AP45" i="3"/>
  <c r="AO45" i="3"/>
  <c r="AD45" i="3"/>
  <c r="AA45" i="3"/>
  <c r="Z45" i="3"/>
  <c r="Y45" i="3"/>
  <c r="BS44" i="3"/>
  <c r="BP44" i="3"/>
  <c r="BO44" i="3"/>
  <c r="BM44" i="3"/>
  <c r="BH44" i="3"/>
  <c r="AY44" i="3"/>
  <c r="BL44" i="3" s="1"/>
  <c r="AX44" i="3"/>
  <c r="AW44" i="3"/>
  <c r="BK44" i="3" s="1"/>
  <c r="AT44" i="3"/>
  <c r="AQ44" i="3"/>
  <c r="AP44" i="3"/>
  <c r="AO44" i="3"/>
  <c r="AD44" i="3"/>
  <c r="AA44" i="3"/>
  <c r="Z44" i="3"/>
  <c r="Y44" i="3"/>
  <c r="X44" i="3"/>
  <c r="P44" i="3"/>
  <c r="H15" i="8" s="1" a="1"/>
  <c r="H15" i="8" s="1"/>
  <c r="BT43" i="3"/>
  <c r="BS43" i="3"/>
  <c r="BR43" i="3"/>
  <c r="BP43" i="3"/>
  <c r="BO43" i="3"/>
  <c r="BM43" i="3"/>
  <c r="BK43" i="3"/>
  <c r="AY43" i="3"/>
  <c r="BL43" i="3" s="1"/>
  <c r="AW43" i="3"/>
  <c r="AT43" i="3"/>
  <c r="AQ43" i="3"/>
  <c r="AP43" i="3"/>
  <c r="AO43" i="3"/>
  <c r="AD43" i="3"/>
  <c r="AA43" i="3"/>
  <c r="Z43" i="3"/>
  <c r="Y43" i="3"/>
  <c r="BS42" i="3"/>
  <c r="BP42" i="3"/>
  <c r="BO42" i="3"/>
  <c r="BM42" i="3"/>
  <c r="BL42" i="3"/>
  <c r="BK42" i="3"/>
  <c r="AY42" i="3"/>
  <c r="AW42" i="3"/>
  <c r="AT42" i="3"/>
  <c r="BH42" i="3" s="1"/>
  <c r="AQ42" i="3"/>
  <c r="AP42" i="3"/>
  <c r="AO42" i="3"/>
  <c r="AI42" i="3"/>
  <c r="AF42" i="3"/>
  <c r="AE42" i="3"/>
  <c r="AD42" i="3"/>
  <c r="AA42" i="3"/>
  <c r="Z42" i="3"/>
  <c r="Y42" i="3"/>
  <c r="X42" i="3"/>
  <c r="AB42" i="3" s="1"/>
  <c r="AC42" i="3" s="1"/>
  <c r="BS41" i="3"/>
  <c r="BR41" i="3"/>
  <c r="BP41" i="3"/>
  <c r="BO41" i="3"/>
  <c r="BM41" i="3"/>
  <c r="BH41" i="3"/>
  <c r="AY41" i="3"/>
  <c r="BL41" i="3" s="1"/>
  <c r="AX41" i="3"/>
  <c r="AW41" i="3"/>
  <c r="BK41" i="3" s="1"/>
  <c r="AT41" i="3"/>
  <c r="AQ41" i="3"/>
  <c r="AP41" i="3"/>
  <c r="AO41" i="3"/>
  <c r="AD41" i="3"/>
  <c r="AA41" i="3"/>
  <c r="Z41" i="3"/>
  <c r="Y41" i="3"/>
  <c r="X41" i="3"/>
  <c r="P41" i="3"/>
  <c r="O41" i="3"/>
  <c r="O44" i="3" s="1"/>
  <c r="G15" i="8" s="1" a="1"/>
  <c r="G15" i="8" s="1"/>
  <c r="BT40" i="3"/>
  <c r="BS40" i="3"/>
  <c r="BR40" i="3"/>
  <c r="BU40" i="3" s="1"/>
  <c r="BP40" i="3"/>
  <c r="BO40" i="3"/>
  <c r="BM40" i="3"/>
  <c r="BL40" i="3"/>
  <c r="BK40" i="3"/>
  <c r="AY40" i="3"/>
  <c r="AW40" i="3"/>
  <c r="AT40" i="3"/>
  <c r="BH40" i="3" s="1"/>
  <c r="AR40" i="3"/>
  <c r="AS40" i="3" s="1"/>
  <c r="AQ40" i="3"/>
  <c r="AP40" i="3"/>
  <c r="AO40" i="3"/>
  <c r="AD40" i="3"/>
  <c r="AA40" i="3"/>
  <c r="Z40" i="3"/>
  <c r="Y40" i="3"/>
  <c r="BS39" i="3"/>
  <c r="BP39" i="3"/>
  <c r="BO39" i="3"/>
  <c r="BM39" i="3"/>
  <c r="BL39" i="3"/>
  <c r="BK39" i="3"/>
  <c r="AY39" i="3"/>
  <c r="AX39" i="3"/>
  <c r="AW39" i="3"/>
  <c r="AT39" i="3"/>
  <c r="BH39" i="3" s="1"/>
  <c r="AQ39" i="3"/>
  <c r="AP39" i="3"/>
  <c r="AO39" i="3"/>
  <c r="AF39" i="3"/>
  <c r="AD39" i="3"/>
  <c r="AA39" i="3"/>
  <c r="Z39" i="3"/>
  <c r="Y39" i="3"/>
  <c r="X39" i="3"/>
  <c r="BS38" i="3"/>
  <c r="BR38" i="3"/>
  <c r="BP38" i="3"/>
  <c r="BO38" i="3"/>
  <c r="BM38" i="3"/>
  <c r="BH38" i="3"/>
  <c r="AY38" i="3"/>
  <c r="BL38" i="3" s="1"/>
  <c r="AX38" i="3"/>
  <c r="AW38" i="3"/>
  <c r="BK38" i="3" s="1"/>
  <c r="AT38" i="3"/>
  <c r="AR38" i="3"/>
  <c r="AQ38" i="3"/>
  <c r="AP38" i="3"/>
  <c r="AO38" i="3"/>
  <c r="AF38" i="3"/>
  <c r="AE38" i="3"/>
  <c r="AD38" i="3"/>
  <c r="AA38" i="3"/>
  <c r="Z38" i="3"/>
  <c r="Y38" i="3"/>
  <c r="X38" i="3"/>
  <c r="AB38" i="3" s="1"/>
  <c r="BS37" i="3"/>
  <c r="BR37" i="3"/>
  <c r="BP37" i="3"/>
  <c r="BO37" i="3"/>
  <c r="BM37" i="3"/>
  <c r="BL37" i="3"/>
  <c r="BK37" i="3"/>
  <c r="BH37" i="3"/>
  <c r="AY37" i="3"/>
  <c r="AX37" i="3"/>
  <c r="AW37" i="3"/>
  <c r="AT37" i="3"/>
  <c r="AQ37" i="3"/>
  <c r="AP37" i="3"/>
  <c r="AO37" i="3"/>
  <c r="AF37" i="3"/>
  <c r="AD37" i="3"/>
  <c r="AA37" i="3"/>
  <c r="Z37" i="3"/>
  <c r="Y37" i="3"/>
  <c r="BT36" i="3"/>
  <c r="BU36" i="3" s="1"/>
  <c r="BS36" i="3"/>
  <c r="BR36" i="3"/>
  <c r="BP36" i="3"/>
  <c r="BO36" i="3"/>
  <c r="BM36" i="3"/>
  <c r="BL36" i="3"/>
  <c r="BK36" i="3"/>
  <c r="AY36" i="3"/>
  <c r="AW36" i="3"/>
  <c r="AT36" i="3"/>
  <c r="BH36" i="3" s="1"/>
  <c r="AQ36" i="3"/>
  <c r="AP36" i="3"/>
  <c r="AO36" i="3"/>
  <c r="AD36" i="3"/>
  <c r="AA36" i="3"/>
  <c r="Z36" i="3"/>
  <c r="Y36" i="3"/>
  <c r="F36" i="3"/>
  <c r="BS35" i="3"/>
  <c r="BR35" i="3"/>
  <c r="BP35" i="3"/>
  <c r="BO35" i="3"/>
  <c r="BM35" i="3"/>
  <c r="BK35" i="3"/>
  <c r="BH35" i="3"/>
  <c r="AY35" i="3"/>
  <c r="BL35" i="3" s="1"/>
  <c r="AW35" i="3"/>
  <c r="AT35" i="3"/>
  <c r="AR35" i="3"/>
  <c r="AQ35" i="3"/>
  <c r="AP35" i="3"/>
  <c r="AS35" i="3" s="1"/>
  <c r="AO35" i="3"/>
  <c r="AF35" i="3"/>
  <c r="AD35" i="3"/>
  <c r="AA35" i="3"/>
  <c r="Z35" i="3"/>
  <c r="Y35" i="3"/>
  <c r="X35" i="3"/>
  <c r="AB35" i="3" s="1"/>
  <c r="BT34" i="3"/>
  <c r="BS34" i="3"/>
  <c r="BR34" i="3"/>
  <c r="BP34" i="3"/>
  <c r="BU34" i="3" s="1"/>
  <c r="BO34" i="3"/>
  <c r="BM34" i="3"/>
  <c r="BL34" i="3"/>
  <c r="BK34" i="3"/>
  <c r="AY34" i="3"/>
  <c r="AW34" i="3"/>
  <c r="AT34" i="3"/>
  <c r="AR34" i="3"/>
  <c r="AQ34" i="3"/>
  <c r="AP34" i="3"/>
  <c r="AS34" i="3" s="1"/>
  <c r="AO34" i="3"/>
  <c r="AF34" i="3"/>
  <c r="AD34" i="3"/>
  <c r="AA34" i="3"/>
  <c r="Z34" i="3"/>
  <c r="Y34" i="3"/>
  <c r="X34" i="3"/>
  <c r="F34" i="3"/>
  <c r="E34" i="3"/>
  <c r="BT33" i="3"/>
  <c r="BS33" i="3"/>
  <c r="BP33" i="3"/>
  <c r="BO33" i="3"/>
  <c r="BM33" i="3"/>
  <c r="BL33" i="3"/>
  <c r="AY33" i="3"/>
  <c r="AX33" i="3"/>
  <c r="AW33" i="3"/>
  <c r="BK33" i="3" s="1"/>
  <c r="AT33" i="3"/>
  <c r="AQ33" i="3"/>
  <c r="AP33" i="3"/>
  <c r="AO33" i="3"/>
  <c r="AF33" i="3"/>
  <c r="AD33" i="3"/>
  <c r="AB33" i="3"/>
  <c r="AA33" i="3"/>
  <c r="Z33" i="3"/>
  <c r="Y33" i="3"/>
  <c r="X33" i="3"/>
  <c r="AE33" i="3" s="1"/>
  <c r="BS32" i="3"/>
  <c r="BR32" i="3"/>
  <c r="BP32" i="3"/>
  <c r="BO32" i="3"/>
  <c r="BM32" i="3"/>
  <c r="BH32" i="3"/>
  <c r="AY32" i="3"/>
  <c r="BL32" i="3" s="1"/>
  <c r="AX32" i="3"/>
  <c r="AW32" i="3"/>
  <c r="BK32" i="3" s="1"/>
  <c r="AT32" i="3"/>
  <c r="AR32" i="3"/>
  <c r="AQ32" i="3"/>
  <c r="AP32" i="3"/>
  <c r="AO32" i="3"/>
  <c r="AF32" i="3"/>
  <c r="AD32" i="3"/>
  <c r="AA32" i="3"/>
  <c r="Z32" i="3"/>
  <c r="Y32" i="3"/>
  <c r="X32" i="3"/>
  <c r="BU31" i="3"/>
  <c r="BT31" i="3"/>
  <c r="BS31" i="3"/>
  <c r="BR31" i="3"/>
  <c r="BP31" i="3"/>
  <c r="BO31" i="3"/>
  <c r="BM31" i="3"/>
  <c r="BL31" i="3"/>
  <c r="BK31" i="3"/>
  <c r="AY31" i="3"/>
  <c r="AW31" i="3"/>
  <c r="AT31" i="3"/>
  <c r="BH31" i="3" s="1"/>
  <c r="AR31" i="3"/>
  <c r="AQ31" i="3"/>
  <c r="AP31" i="3"/>
  <c r="AO31" i="3"/>
  <c r="AS31" i="3" s="1"/>
  <c r="AD31" i="3"/>
  <c r="AA31" i="3"/>
  <c r="Z31" i="3"/>
  <c r="Y31" i="3"/>
  <c r="BS30" i="3"/>
  <c r="BP30" i="3"/>
  <c r="BO30" i="3"/>
  <c r="BM30" i="3"/>
  <c r="BH30" i="3"/>
  <c r="AY30" i="3"/>
  <c r="BL30" i="3" s="1"/>
  <c r="AX30" i="3"/>
  <c r="AW30" i="3"/>
  <c r="BK30" i="3" s="1"/>
  <c r="AT30" i="3"/>
  <c r="AR30" i="3"/>
  <c r="AS30" i="3" s="1"/>
  <c r="AQ30" i="3"/>
  <c r="AP30" i="3"/>
  <c r="AO30" i="3"/>
  <c r="AI30" i="3"/>
  <c r="AF30" i="3"/>
  <c r="AE30" i="3"/>
  <c r="AD30" i="3"/>
  <c r="AA30" i="3"/>
  <c r="Z30" i="3"/>
  <c r="Y30" i="3"/>
  <c r="AC30" i="3" s="1"/>
  <c r="X30" i="3"/>
  <c r="AB30" i="3" s="1"/>
  <c r="F30" i="3"/>
  <c r="BT29" i="3"/>
  <c r="BS29" i="3"/>
  <c r="BP29" i="3"/>
  <c r="BO29" i="3"/>
  <c r="BM29" i="3"/>
  <c r="BL29" i="3"/>
  <c r="BK29" i="3"/>
  <c r="AY29" i="3"/>
  <c r="AX29" i="3"/>
  <c r="AW29" i="3"/>
  <c r="AT29" i="3"/>
  <c r="AQ29" i="3"/>
  <c r="AP29" i="3"/>
  <c r="AO29" i="3"/>
  <c r="AD29" i="3"/>
  <c r="AA29" i="3"/>
  <c r="Z29" i="3"/>
  <c r="Y29" i="3"/>
  <c r="O29" i="3"/>
  <c r="F29" i="3"/>
  <c r="F28" i="3" s="1"/>
  <c r="BU28" i="3"/>
  <c r="BT28" i="3"/>
  <c r="BS28" i="3"/>
  <c r="BR28" i="3"/>
  <c r="BP28" i="3"/>
  <c r="BO28" i="3"/>
  <c r="BM28" i="3"/>
  <c r="BK28" i="3"/>
  <c r="AY28" i="3"/>
  <c r="BL28" i="3" s="1"/>
  <c r="AW28" i="3"/>
  <c r="AT28" i="3"/>
  <c r="BH28" i="3" s="1"/>
  <c r="AR28" i="3"/>
  <c r="AS28" i="3" s="1"/>
  <c r="AQ28" i="3"/>
  <c r="AP28" i="3"/>
  <c r="AO28" i="3"/>
  <c r="AF28" i="3"/>
  <c r="AD28" i="3"/>
  <c r="AA28" i="3"/>
  <c r="Z28" i="3"/>
  <c r="Y28" i="3"/>
  <c r="X28" i="3"/>
  <c r="BS27" i="3"/>
  <c r="BP27" i="3"/>
  <c r="BO27" i="3"/>
  <c r="BM27" i="3"/>
  <c r="BL27" i="3"/>
  <c r="BK27" i="3"/>
  <c r="AY27" i="3"/>
  <c r="AX27" i="3"/>
  <c r="AW27" i="3"/>
  <c r="AT27" i="3"/>
  <c r="AQ27" i="3"/>
  <c r="AP27" i="3"/>
  <c r="AO27" i="3"/>
  <c r="AF27" i="3"/>
  <c r="AD27" i="3"/>
  <c r="AA27" i="3"/>
  <c r="Z27" i="3"/>
  <c r="Y27" i="3"/>
  <c r="X27" i="3"/>
  <c r="AB27" i="3" s="1"/>
  <c r="AC27" i="3" s="1"/>
  <c r="BS26" i="3"/>
  <c r="BR26" i="3"/>
  <c r="BP26" i="3"/>
  <c r="BO26" i="3"/>
  <c r="BM26" i="3"/>
  <c r="BH26" i="3"/>
  <c r="AY26" i="3"/>
  <c r="BL26" i="3" s="1"/>
  <c r="AX26" i="3"/>
  <c r="AW26" i="3"/>
  <c r="BK26" i="3" s="1"/>
  <c r="AT26" i="3"/>
  <c r="AQ26" i="3"/>
  <c r="AP26" i="3"/>
  <c r="AO26" i="3"/>
  <c r="AD26" i="3"/>
  <c r="AA26" i="3"/>
  <c r="Z26" i="3"/>
  <c r="Y26" i="3"/>
  <c r="X26" i="3"/>
  <c r="BT25" i="3"/>
  <c r="BS25" i="3"/>
  <c r="BS58" i="3" s="1"/>
  <c r="BR25" i="3"/>
  <c r="BP25" i="3"/>
  <c r="BO25" i="3"/>
  <c r="BM25" i="3"/>
  <c r="BK25" i="3"/>
  <c r="AY25" i="3"/>
  <c r="BL25" i="3" s="1"/>
  <c r="AX25" i="3"/>
  <c r="AW25" i="3"/>
  <c r="AT25" i="3"/>
  <c r="AQ25" i="3"/>
  <c r="AP25" i="3"/>
  <c r="AO25" i="3"/>
  <c r="AD25" i="3"/>
  <c r="AB25" i="3"/>
  <c r="AA25" i="3"/>
  <c r="Z25" i="3"/>
  <c r="Y25" i="3"/>
  <c r="X25" i="3"/>
  <c r="AE25" i="3" s="1"/>
  <c r="BT24" i="3"/>
  <c r="BS24" i="3"/>
  <c r="BR24" i="3"/>
  <c r="BU24" i="3" s="1"/>
  <c r="BP24" i="3"/>
  <c r="BO24" i="3"/>
  <c r="BM24" i="3"/>
  <c r="BL24" i="3"/>
  <c r="BK24" i="3"/>
  <c r="AY24" i="3"/>
  <c r="AW24" i="3"/>
  <c r="AT24" i="3"/>
  <c r="BH24" i="3" s="1"/>
  <c r="AQ24" i="3"/>
  <c r="AP24" i="3"/>
  <c r="AO24" i="3"/>
  <c r="AD24" i="3"/>
  <c r="AA24" i="3"/>
  <c r="Z24" i="3"/>
  <c r="Y24" i="3"/>
  <c r="BT23" i="3"/>
  <c r="BS23" i="3"/>
  <c r="BP23" i="3"/>
  <c r="BO23" i="3"/>
  <c r="BM23" i="3"/>
  <c r="BL23" i="3"/>
  <c r="AY23" i="3"/>
  <c r="AX23" i="3"/>
  <c r="AW23" i="3"/>
  <c r="BK23" i="3" s="1"/>
  <c r="AT23" i="3"/>
  <c r="BH23" i="3" s="1"/>
  <c r="AQ23" i="3"/>
  <c r="AP23" i="3"/>
  <c r="AO23" i="3"/>
  <c r="AD23" i="3"/>
  <c r="AA23" i="3"/>
  <c r="Z23" i="3"/>
  <c r="Y23" i="3"/>
  <c r="BS22" i="3"/>
  <c r="BP22" i="3"/>
  <c r="BO22" i="3"/>
  <c r="BM22" i="3"/>
  <c r="BK22" i="3"/>
  <c r="BH22" i="3"/>
  <c r="AY22" i="3"/>
  <c r="BL22" i="3" s="1"/>
  <c r="AX22" i="3"/>
  <c r="AW22" i="3"/>
  <c r="AT22" i="3"/>
  <c r="AR22" i="3"/>
  <c r="AQ22" i="3"/>
  <c r="AP22" i="3"/>
  <c r="AS22" i="3" s="1"/>
  <c r="AO22" i="3"/>
  <c r="AF22" i="3"/>
  <c r="AD22" i="3"/>
  <c r="AA22" i="3"/>
  <c r="Z22" i="3"/>
  <c r="Y22" i="3"/>
  <c r="BT21" i="3"/>
  <c r="BS21" i="3"/>
  <c r="BR21" i="3"/>
  <c r="BP21" i="3"/>
  <c r="BO21" i="3"/>
  <c r="BM21" i="3"/>
  <c r="BL21" i="3"/>
  <c r="AY21" i="3"/>
  <c r="AW21" i="3"/>
  <c r="BK21" i="3" s="1"/>
  <c r="AT21" i="3"/>
  <c r="BH21" i="3" s="1"/>
  <c r="AR21" i="3"/>
  <c r="AS21" i="3" s="1"/>
  <c r="AQ21" i="3"/>
  <c r="AP21" i="3"/>
  <c r="AO21" i="3"/>
  <c r="AD21" i="3"/>
  <c r="AA21" i="3"/>
  <c r="Z21" i="3"/>
  <c r="Y21" i="3"/>
  <c r="BT20" i="3"/>
  <c r="BS20" i="3"/>
  <c r="BP20" i="3"/>
  <c r="BO20" i="3"/>
  <c r="BM20" i="3"/>
  <c r="BL20" i="3"/>
  <c r="AY20" i="3"/>
  <c r="AW20" i="3"/>
  <c r="BK20" i="3" s="1"/>
  <c r="AT20" i="3"/>
  <c r="AR20" i="3"/>
  <c r="AQ20" i="3"/>
  <c r="AP20" i="3"/>
  <c r="AO20" i="3"/>
  <c r="AF20" i="3"/>
  <c r="AD20" i="3"/>
  <c r="AA20" i="3"/>
  <c r="Z20" i="3"/>
  <c r="Y20" i="3"/>
  <c r="X20" i="3"/>
  <c r="BT19" i="3"/>
  <c r="BS19" i="3"/>
  <c r="BR19" i="3"/>
  <c r="BP19" i="3"/>
  <c r="BM19" i="3"/>
  <c r="BL19" i="3"/>
  <c r="BA19" i="3"/>
  <c r="AY19" i="3"/>
  <c r="AX19" i="3"/>
  <c r="AW19" i="3"/>
  <c r="BK19" i="3" s="1"/>
  <c r="AR19" i="3"/>
  <c r="AF19" i="3"/>
  <c r="F19" i="3"/>
  <c r="F20" i="3" s="1"/>
  <c r="F21" i="3" s="1"/>
  <c r="BS18" i="3"/>
  <c r="BR18" i="3"/>
  <c r="BP18" i="3"/>
  <c r="BO18" i="3"/>
  <c r="BM18" i="3"/>
  <c r="BL18" i="3"/>
  <c r="BK18" i="3"/>
  <c r="BA18" i="3"/>
  <c r="AY18" i="3"/>
  <c r="AX18" i="3"/>
  <c r="AW18" i="3"/>
  <c r="AT18" i="3"/>
  <c r="BH18" i="3" s="1"/>
  <c r="AQ18" i="3"/>
  <c r="AP18" i="3"/>
  <c r="AO18" i="3"/>
  <c r="AH18" i="3"/>
  <c r="AF18" i="3"/>
  <c r="AD18" i="3"/>
  <c r="AA18" i="3"/>
  <c r="Z18" i="3"/>
  <c r="Y18" i="3"/>
  <c r="X18" i="3"/>
  <c r="V18" i="3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BS17" i="3"/>
  <c r="BR17" i="3"/>
  <c r="BP17" i="3"/>
  <c r="BO17" i="3"/>
  <c r="BM17" i="3"/>
  <c r="BH17" i="3"/>
  <c r="AY17" i="3"/>
  <c r="AY58" i="3" s="1"/>
  <c r="AX17" i="3"/>
  <c r="AW17" i="3"/>
  <c r="AT17" i="3"/>
  <c r="AQ17" i="3"/>
  <c r="AP17" i="3"/>
  <c r="AO17" i="3"/>
  <c r="AH17" i="3"/>
  <c r="AD17" i="3"/>
  <c r="AA17" i="3"/>
  <c r="Z17" i="3"/>
  <c r="Y17" i="3"/>
  <c r="X17" i="3"/>
  <c r="V17" i="3"/>
  <c r="O16" i="3"/>
  <c r="G28" i="2"/>
  <c r="G27" i="2"/>
  <c r="G23" i="2"/>
  <c r="G20" i="2"/>
  <c r="G17" i="2"/>
  <c r="G14" i="2"/>
  <c r="G11" i="2"/>
  <c r="G5" i="2"/>
  <c r="I32" i="2" s="1"/>
  <c r="AE28" i="3" l="1"/>
  <c r="AI28" i="3" s="1"/>
  <c r="AB28" i="3"/>
  <c r="AC33" i="3"/>
  <c r="AB41" i="3"/>
  <c r="AC41" i="3" s="1"/>
  <c r="AE41" i="3"/>
  <c r="BU41" i="3"/>
  <c r="AH18" i="4"/>
  <c r="BH49" i="4"/>
  <c r="G12" i="8" a="1"/>
  <c r="G12" i="8" s="1"/>
  <c r="O30" i="3"/>
  <c r="O60" i="3"/>
  <c r="P93" i="3"/>
  <c r="P94" i="3"/>
  <c r="BH42" i="4"/>
  <c r="AE17" i="3"/>
  <c r="AB17" i="3"/>
  <c r="AH19" i="4"/>
  <c r="AH17" i="4"/>
  <c r="AB18" i="3"/>
  <c r="AE18" i="3"/>
  <c r="AI18" i="3" s="1"/>
  <c r="BM58" i="3"/>
  <c r="BU21" i="3"/>
  <c r="AJ30" i="3"/>
  <c r="AE45" i="4"/>
  <c r="AI45" i="4" s="1"/>
  <c r="AB45" i="4"/>
  <c r="F42" i="7"/>
  <c r="F42" i="6"/>
  <c r="F42" i="5"/>
  <c r="AJ42" i="3"/>
  <c r="AB53" i="4"/>
  <c r="AE53" i="4"/>
  <c r="F51" i="7"/>
  <c r="P29" i="7" s="1"/>
  <c r="F51" i="6"/>
  <c r="P29" i="6" s="1"/>
  <c r="F51" i="4"/>
  <c r="G8" i="2"/>
  <c r="H32" i="2"/>
  <c r="BP58" i="3"/>
  <c r="AB20" i="3"/>
  <c r="AE20" i="3"/>
  <c r="AS26" i="3"/>
  <c r="BH34" i="3"/>
  <c r="P50" i="4"/>
  <c r="BH20" i="3"/>
  <c r="BH27" i="3"/>
  <c r="F41" i="7"/>
  <c r="F40" i="7" s="1"/>
  <c r="F41" i="6"/>
  <c r="F40" i="6" s="1"/>
  <c r="F41" i="5"/>
  <c r="F40" i="5" s="1"/>
  <c r="G26" i="2"/>
  <c r="I33" i="2" s="1"/>
  <c r="BK17" i="3"/>
  <c r="BK58" i="3" s="1"/>
  <c r="AW58" i="3"/>
  <c r="AB39" i="3"/>
  <c r="AC39" i="3" s="1"/>
  <c r="AJ39" i="3" s="1"/>
  <c r="AE39" i="3"/>
  <c r="AI39" i="3" s="1"/>
  <c r="U92" i="4"/>
  <c r="AE55" i="5"/>
  <c r="AB55" i="5"/>
  <c r="AC55" i="5" s="1"/>
  <c r="AB32" i="3"/>
  <c r="AE32" i="3"/>
  <c r="AI32" i="3" s="1"/>
  <c r="AE34" i="3"/>
  <c r="AI34" i="3" s="1"/>
  <c r="AB34" i="3"/>
  <c r="AC34" i="3" s="1"/>
  <c r="AJ34" i="3" s="1"/>
  <c r="K29" i="8" a="1"/>
  <c r="K29" i="8" s="1"/>
  <c r="T29" i="8" a="1"/>
  <c r="T29" i="8" s="1"/>
  <c r="H29" i="8" a="1"/>
  <c r="H29" i="8" s="1"/>
  <c r="H30" i="8" s="1"/>
  <c r="Q29" i="8" a="1"/>
  <c r="Q29" i="8" s="1"/>
  <c r="N29" i="8" a="1"/>
  <c r="N29" i="8" s="1"/>
  <c r="N30" i="8" s="1"/>
  <c r="BU43" i="3"/>
  <c r="AB21" i="4"/>
  <c r="AE21" i="4"/>
  <c r="AI21" i="4" s="1"/>
  <c r="AB28" i="4"/>
  <c r="AE28" i="4"/>
  <c r="P29" i="4"/>
  <c r="AE33" i="4"/>
  <c r="AB33" i="4"/>
  <c r="BH43" i="4"/>
  <c r="AC45" i="4"/>
  <c r="P93" i="4"/>
  <c r="BH21" i="5"/>
  <c r="BM58" i="6"/>
  <c r="O62" i="7"/>
  <c r="O61" i="7"/>
  <c r="Y19" i="7" s="1"/>
  <c r="AB26" i="3"/>
  <c r="AC26" i="3" s="1"/>
  <c r="AJ26" i="3" s="1"/>
  <c r="AE26" i="3"/>
  <c r="BH56" i="3"/>
  <c r="AC17" i="3"/>
  <c r="AC18" i="3"/>
  <c r="AJ18" i="3" s="1"/>
  <c r="AC20" i="3"/>
  <c r="BH29" i="3"/>
  <c r="AC32" i="3"/>
  <c r="AS32" i="3"/>
  <c r="P36" i="3"/>
  <c r="BH48" i="3"/>
  <c r="BK17" i="4"/>
  <c r="BK58" i="4" s="1"/>
  <c r="AW58" i="4"/>
  <c r="AB18" i="4"/>
  <c r="AC18" i="4" s="1"/>
  <c r="AE18" i="4"/>
  <c r="AI18" i="4" s="1"/>
  <c r="BA19" i="4"/>
  <c r="AC21" i="4"/>
  <c r="AJ21" i="4" s="1"/>
  <c r="AJ25" i="4"/>
  <c r="AC28" i="4"/>
  <c r="O29" i="4"/>
  <c r="AI29" i="4"/>
  <c r="AJ29" i="4" s="1"/>
  <c r="AB30" i="4"/>
  <c r="AC30" i="4" s="1"/>
  <c r="AE30" i="4"/>
  <c r="AE51" i="4"/>
  <c r="AB51" i="4"/>
  <c r="AC51" i="4" s="1"/>
  <c r="BS58" i="4"/>
  <c r="BM58" i="5"/>
  <c r="BS58" i="5"/>
  <c r="AC33" i="4"/>
  <c r="BH45" i="4"/>
  <c r="O29" i="5"/>
  <c r="F28" i="5"/>
  <c r="AB35" i="5"/>
  <c r="AH19" i="3"/>
  <c r="AC25" i="3"/>
  <c r="BH46" i="3"/>
  <c r="U92" i="3"/>
  <c r="BU20" i="4"/>
  <c r="AB36" i="5"/>
  <c r="BU53" i="5"/>
  <c r="AI35" i="3"/>
  <c r="AC38" i="3"/>
  <c r="BH43" i="3"/>
  <c r="AB44" i="3"/>
  <c r="AC44" i="3" s="1"/>
  <c r="AE44" i="3"/>
  <c r="AI44" i="3" s="1"/>
  <c r="BU45" i="3"/>
  <c r="BU54" i="3"/>
  <c r="BM58" i="4"/>
  <c r="AE22" i="4"/>
  <c r="AI22" i="4" s="1"/>
  <c r="AB22" i="4"/>
  <c r="BU29" i="4"/>
  <c r="BH31" i="4"/>
  <c r="AE37" i="4"/>
  <c r="AI37" i="4" s="1"/>
  <c r="AB37" i="4"/>
  <c r="AB44" i="4"/>
  <c r="AC44" i="4" s="1"/>
  <c r="AJ44" i="4" s="1"/>
  <c r="AE44" i="4"/>
  <c r="AI44" i="4" s="1"/>
  <c r="BH54" i="4"/>
  <c r="AX56" i="5"/>
  <c r="AF56" i="5"/>
  <c r="X56" i="5"/>
  <c r="BR55" i="5"/>
  <c r="BU55" i="5" s="1"/>
  <c r="AR55" i="5"/>
  <c r="BT54" i="5"/>
  <c r="BR52" i="5"/>
  <c r="AR52" i="5"/>
  <c r="BT55" i="5"/>
  <c r="BT51" i="5"/>
  <c r="AF51" i="5"/>
  <c r="X51" i="5"/>
  <c r="BT47" i="5"/>
  <c r="AX45" i="5"/>
  <c r="AF45" i="5"/>
  <c r="X45" i="5"/>
  <c r="BR44" i="5"/>
  <c r="AR44" i="5"/>
  <c r="BR42" i="5"/>
  <c r="AR42" i="5"/>
  <c r="AS42" i="5" s="1"/>
  <c r="AX38" i="5"/>
  <c r="AF38" i="5"/>
  <c r="X38" i="5"/>
  <c r="AX26" i="5"/>
  <c r="AF26" i="5"/>
  <c r="X26" i="5"/>
  <c r="BR25" i="5"/>
  <c r="AR25" i="5"/>
  <c r="AS25" i="5" s="1"/>
  <c r="AR53" i="5"/>
  <c r="AX52" i="5"/>
  <c r="O104" i="5"/>
  <c r="BT56" i="5"/>
  <c r="BT53" i="5"/>
  <c r="AX53" i="5"/>
  <c r="BT49" i="5"/>
  <c r="BU49" i="5" s="1"/>
  <c r="AF49" i="5"/>
  <c r="X49" i="5"/>
  <c r="AF48" i="5"/>
  <c r="X48" i="5"/>
  <c r="BR47" i="5"/>
  <c r="AX47" i="5"/>
  <c r="BT45" i="5"/>
  <c r="AR45" i="5"/>
  <c r="AS45" i="5" s="1"/>
  <c r="AR41" i="5"/>
  <c r="AS41" i="5" s="1"/>
  <c r="AR40" i="5"/>
  <c r="AF36" i="5"/>
  <c r="AX35" i="5"/>
  <c r="AF30" i="5"/>
  <c r="X30" i="5"/>
  <c r="AF29" i="5"/>
  <c r="X29" i="5"/>
  <c r="AF28" i="5"/>
  <c r="X28" i="5"/>
  <c r="BR27" i="5"/>
  <c r="AX27" i="5"/>
  <c r="AF55" i="5"/>
  <c r="AF52" i="5"/>
  <c r="X52" i="5"/>
  <c r="BR51" i="5"/>
  <c r="BU51" i="5" s="1"/>
  <c r="AR50" i="5"/>
  <c r="BR48" i="5"/>
  <c r="BU48" i="5" s="1"/>
  <c r="AX48" i="5"/>
  <c r="BT41" i="5"/>
  <c r="AF41" i="5"/>
  <c r="X41" i="5"/>
  <c r="BT40" i="5"/>
  <c r="AF40" i="5"/>
  <c r="X40" i="5"/>
  <c r="BR39" i="5"/>
  <c r="AX39" i="5"/>
  <c r="AR37" i="5"/>
  <c r="BR36" i="5"/>
  <c r="BR35" i="5"/>
  <c r="AR32" i="5"/>
  <c r="AS32" i="5" s="1"/>
  <c r="AR31" i="5"/>
  <c r="AS31" i="5" s="1"/>
  <c r="X31" i="5"/>
  <c r="AX30" i="5"/>
  <c r="AX25" i="5"/>
  <c r="AX22" i="5"/>
  <c r="BR21" i="5"/>
  <c r="AR21" i="5"/>
  <c r="AX18" i="5"/>
  <c r="AX17" i="5"/>
  <c r="BR56" i="5"/>
  <c r="BU56" i="5" s="1"/>
  <c r="AX54" i="5"/>
  <c r="BR53" i="5"/>
  <c r="X53" i="5"/>
  <c r="BT50" i="5"/>
  <c r="AF50" i="5"/>
  <c r="X50" i="5"/>
  <c r="BR49" i="5"/>
  <c r="AX49" i="5"/>
  <c r="AR46" i="5"/>
  <c r="BR45" i="5"/>
  <c r="BU45" i="5" s="1"/>
  <c r="AF42" i="5"/>
  <c r="X42" i="5"/>
  <c r="BR50" i="5"/>
  <c r="BU50" i="5" s="1"/>
  <c r="AF44" i="5"/>
  <c r="AF54" i="5"/>
  <c r="BT52" i="5"/>
  <c r="AR48" i="5"/>
  <c r="AS48" i="5" s="1"/>
  <c r="AX43" i="5"/>
  <c r="X43" i="5"/>
  <c r="AX42" i="5"/>
  <c r="BR41" i="5"/>
  <c r="BU41" i="5" s="1"/>
  <c r="AX34" i="5"/>
  <c r="X34" i="5"/>
  <c r="BR33" i="5"/>
  <c r="AR30" i="5"/>
  <c r="AR56" i="5"/>
  <c r="AS56" i="5" s="1"/>
  <c r="AR49" i="5"/>
  <c r="AS49" i="5" s="1"/>
  <c r="BT44" i="5"/>
  <c r="BT43" i="5"/>
  <c r="AF43" i="5"/>
  <c r="AR33" i="5"/>
  <c r="AF33" i="5"/>
  <c r="BR31" i="5"/>
  <c r="AF31" i="5"/>
  <c r="AX28" i="5"/>
  <c r="X27" i="5"/>
  <c r="AX24" i="5"/>
  <c r="AF23" i="5"/>
  <c r="AX21" i="5"/>
  <c r="X19" i="5"/>
  <c r="BR18" i="5"/>
  <c r="AX46" i="5"/>
  <c r="AF46" i="5"/>
  <c r="AR38" i="5"/>
  <c r="AR35" i="5"/>
  <c r="AS35" i="5" s="1"/>
  <c r="BR32" i="5"/>
  <c r="AF27" i="5"/>
  <c r="BR24" i="5"/>
  <c r="X24" i="5"/>
  <c r="X23" i="5"/>
  <c r="BR20" i="5"/>
  <c r="BR17" i="5"/>
  <c r="AX51" i="5"/>
  <c r="X44" i="5"/>
  <c r="AR43" i="5"/>
  <c r="BR40" i="5"/>
  <c r="BU40" i="5" s="1"/>
  <c r="AF39" i="5"/>
  <c r="BR37" i="5"/>
  <c r="AF35" i="5"/>
  <c r="AX33" i="5"/>
  <c r="AF32" i="5"/>
  <c r="X32" i="5"/>
  <c r="AR23" i="5"/>
  <c r="AF21" i="5"/>
  <c r="X21" i="5"/>
  <c r="X20" i="5"/>
  <c r="AF19" i="5"/>
  <c r="AR54" i="5"/>
  <c r="AX37" i="5"/>
  <c r="AX36" i="5"/>
  <c r="AX32" i="5"/>
  <c r="AR27" i="5"/>
  <c r="AF25" i="5"/>
  <c r="X25" i="5"/>
  <c r="AR24" i="5"/>
  <c r="AS24" i="5" s="1"/>
  <c r="AF24" i="5"/>
  <c r="AX50" i="5"/>
  <c r="X47" i="5"/>
  <c r="X46" i="5"/>
  <c r="BT42" i="5"/>
  <c r="X39" i="5"/>
  <c r="X37" i="5"/>
  <c r="BR34" i="5"/>
  <c r="AR34" i="5"/>
  <c r="AX31" i="5"/>
  <c r="BR28" i="5"/>
  <c r="X54" i="5"/>
  <c r="X33" i="5"/>
  <c r="AR29" i="5"/>
  <c r="AS29" i="5" s="1"/>
  <c r="AR28" i="5"/>
  <c r="AS28" i="5" s="1"/>
  <c r="BT46" i="5"/>
  <c r="BR43" i="5"/>
  <c r="BU43" i="5" s="1"/>
  <c r="AX41" i="5"/>
  <c r="AX40" i="5"/>
  <c r="BR38" i="5"/>
  <c r="AF37" i="5"/>
  <c r="BR22" i="5"/>
  <c r="AF20" i="5"/>
  <c r="X17" i="5"/>
  <c r="AR39" i="5"/>
  <c r="AS39" i="5" s="1"/>
  <c r="AX19" i="5"/>
  <c r="AF18" i="5"/>
  <c r="AR17" i="5"/>
  <c r="AX55" i="5"/>
  <c r="BR54" i="5"/>
  <c r="BR46" i="5"/>
  <c r="BT39" i="5"/>
  <c r="AF34" i="5"/>
  <c r="X22" i="5"/>
  <c r="BT48" i="5"/>
  <c r="AX44" i="5"/>
  <c r="BR19" i="5"/>
  <c r="AR18" i="5"/>
  <c r="AF47" i="5"/>
  <c r="AR36" i="5"/>
  <c r="AS36" i="5" s="1"/>
  <c r="BR26" i="5"/>
  <c r="AR26" i="5"/>
  <c r="X18" i="5"/>
  <c r="BR23" i="5"/>
  <c r="AC35" i="5"/>
  <c r="BH40" i="5"/>
  <c r="AC28" i="3"/>
  <c r="AJ28" i="3" s="1"/>
  <c r="U93" i="3"/>
  <c r="AR18" i="3" s="1"/>
  <c r="AS18" i="3" s="1"/>
  <c r="AE36" i="4"/>
  <c r="AI36" i="4" s="1"/>
  <c r="AB36" i="4"/>
  <c r="AC36" i="4" s="1"/>
  <c r="AS47" i="4"/>
  <c r="BH53" i="4"/>
  <c r="BH33" i="3"/>
  <c r="BH25" i="3"/>
  <c r="AE27" i="3"/>
  <c r="AI27" i="3" s="1"/>
  <c r="AJ27" i="3" s="1"/>
  <c r="AE35" i="3"/>
  <c r="BU37" i="3"/>
  <c r="AE51" i="3"/>
  <c r="AB51" i="3"/>
  <c r="AC51" i="3" s="1"/>
  <c r="AS52" i="3"/>
  <c r="AE53" i="3"/>
  <c r="AI53" i="3" s="1"/>
  <c r="AB53" i="3"/>
  <c r="AB56" i="3"/>
  <c r="AC56" i="3" s="1"/>
  <c r="AE56" i="3"/>
  <c r="BH33" i="4"/>
  <c r="AI38" i="4"/>
  <c r="BH39" i="4"/>
  <c r="BU49" i="4"/>
  <c r="AF17" i="5"/>
  <c r="BH34" i="5"/>
  <c r="BU30" i="4"/>
  <c r="AC37" i="4"/>
  <c r="AC53" i="4"/>
  <c r="BH22" i="5"/>
  <c r="AC53" i="3"/>
  <c r="AJ53" i="3" s="1"/>
  <c r="AE31" i="4"/>
  <c r="AI31" i="4" s="1"/>
  <c r="AB31" i="4"/>
  <c r="AC31" i="4" s="1"/>
  <c r="O104" i="3"/>
  <c r="AX55" i="3"/>
  <c r="AF55" i="3"/>
  <c r="X55" i="3"/>
  <c r="BR54" i="3"/>
  <c r="AR54" i="3"/>
  <c r="AS54" i="3" s="1"/>
  <c r="AX52" i="3"/>
  <c r="AF52" i="3"/>
  <c r="X52" i="3"/>
  <c r="BR56" i="3"/>
  <c r="BU56" i="3" s="1"/>
  <c r="AX56" i="3"/>
  <c r="AF54" i="3"/>
  <c r="X54" i="3"/>
  <c r="BR53" i="3"/>
  <c r="AX49" i="3"/>
  <c r="AF49" i="3"/>
  <c r="X49" i="3"/>
  <c r="AX46" i="3"/>
  <c r="AF46" i="3"/>
  <c r="X46" i="3"/>
  <c r="BR45" i="3"/>
  <c r="AR45" i="3"/>
  <c r="AS45" i="3" s="1"/>
  <c r="BT44" i="3"/>
  <c r="AX43" i="3"/>
  <c r="AF43" i="3"/>
  <c r="X43" i="3"/>
  <c r="BR42" i="3"/>
  <c r="BU42" i="3" s="1"/>
  <c r="AR42" i="3"/>
  <c r="AS42" i="3" s="1"/>
  <c r="BT41" i="3"/>
  <c r="AX40" i="3"/>
  <c r="AF40" i="3"/>
  <c r="X40" i="3"/>
  <c r="BR39" i="3"/>
  <c r="BU39" i="3" s="1"/>
  <c r="AR39" i="3"/>
  <c r="AS39" i="3" s="1"/>
  <c r="BT38" i="3"/>
  <c r="BU38" i="3" s="1"/>
  <c r="BR29" i="3"/>
  <c r="BU29" i="3" s="1"/>
  <c r="AR29" i="3"/>
  <c r="AS29" i="3" s="1"/>
  <c r="BR27" i="3"/>
  <c r="AR27" i="3"/>
  <c r="AS27" i="3" s="1"/>
  <c r="BT26" i="3"/>
  <c r="BU26" i="3" s="1"/>
  <c r="AX24" i="3"/>
  <c r="AF24" i="3"/>
  <c r="X24" i="3"/>
  <c r="AX21" i="3"/>
  <c r="AF21" i="3"/>
  <c r="X21" i="3"/>
  <c r="BR48" i="3"/>
  <c r="BU48" i="3" s="1"/>
  <c r="AR48" i="3"/>
  <c r="AX36" i="3"/>
  <c r="AF36" i="3"/>
  <c r="X36" i="3"/>
  <c r="BR33" i="3"/>
  <c r="BU33" i="3" s="1"/>
  <c r="AR33" i="3"/>
  <c r="AX31" i="3"/>
  <c r="AF31" i="3"/>
  <c r="X31" i="3"/>
  <c r="BT30" i="3"/>
  <c r="BR23" i="3"/>
  <c r="BU23" i="3" s="1"/>
  <c r="AR23" i="3"/>
  <c r="AS23" i="3" s="1"/>
  <c r="BT22" i="3"/>
  <c r="BT54" i="3"/>
  <c r="AX53" i="3"/>
  <c r="BT35" i="3"/>
  <c r="BU35" i="3" s="1"/>
  <c r="BT32" i="3"/>
  <c r="AX54" i="3"/>
  <c r="AR51" i="3"/>
  <c r="AS51" i="3" s="1"/>
  <c r="BT50" i="3"/>
  <c r="BU50" i="3" s="1"/>
  <c r="BT47" i="3"/>
  <c r="BU47" i="3" s="1"/>
  <c r="AX45" i="3"/>
  <c r="AF45" i="3"/>
  <c r="X45" i="3"/>
  <c r="BR44" i="3"/>
  <c r="BU44" i="3" s="1"/>
  <c r="AR44" i="3"/>
  <c r="AS44" i="3" s="1"/>
  <c r="X19" i="3"/>
  <c r="X22" i="3"/>
  <c r="X23" i="3"/>
  <c r="AF23" i="3"/>
  <c r="AR24" i="3"/>
  <c r="AS24" i="3" s="1"/>
  <c r="AI26" i="3"/>
  <c r="BT27" i="3"/>
  <c r="BU27" i="3" s="1"/>
  <c r="BR30" i="3"/>
  <c r="BU30" i="3" s="1"/>
  <c r="AS33" i="3"/>
  <c r="AC35" i="3"/>
  <c r="AR36" i="3"/>
  <c r="AS36" i="3" s="1"/>
  <c r="BT37" i="3"/>
  <c r="BT42" i="3"/>
  <c r="X47" i="3"/>
  <c r="AS48" i="3"/>
  <c r="AR49" i="3"/>
  <c r="AS49" i="3" s="1"/>
  <c r="X50" i="3"/>
  <c r="BR51" i="3"/>
  <c r="AR55" i="3"/>
  <c r="AS55" i="3" s="1"/>
  <c r="BR55" i="3"/>
  <c r="BT56" i="4"/>
  <c r="AX54" i="4"/>
  <c r="AF54" i="4"/>
  <c r="X54" i="4"/>
  <c r="AX49" i="4"/>
  <c r="AF49" i="4"/>
  <c r="X49" i="4"/>
  <c r="AX46" i="4"/>
  <c r="AF46" i="4"/>
  <c r="X46" i="4"/>
  <c r="BR45" i="4"/>
  <c r="BU45" i="4" s="1"/>
  <c r="AR45" i="4"/>
  <c r="AS45" i="4" s="1"/>
  <c r="BT44" i="4"/>
  <c r="AX43" i="4"/>
  <c r="AF43" i="4"/>
  <c r="X43" i="4"/>
  <c r="BR42" i="4"/>
  <c r="BU42" i="4" s="1"/>
  <c r="AR42" i="4"/>
  <c r="AS42" i="4" s="1"/>
  <c r="BT41" i="4"/>
  <c r="BU41" i="4" s="1"/>
  <c r="AX39" i="4"/>
  <c r="AF39" i="4"/>
  <c r="X39" i="4"/>
  <c r="BR38" i="4"/>
  <c r="AR38" i="4"/>
  <c r="AS38" i="4" s="1"/>
  <c r="O104" i="4"/>
  <c r="AR55" i="4"/>
  <c r="AS55" i="4" s="1"/>
  <c r="BR54" i="4"/>
  <c r="BT49" i="4"/>
  <c r="AR49" i="4"/>
  <c r="AS49" i="4" s="1"/>
  <c r="BT45" i="4"/>
  <c r="AF42" i="4"/>
  <c r="X42" i="4"/>
  <c r="AR36" i="4"/>
  <c r="AS36" i="4" s="1"/>
  <c r="BT35" i="4"/>
  <c r="AF35" i="4"/>
  <c r="X35" i="4"/>
  <c r="AX34" i="4"/>
  <c r="AX26" i="4"/>
  <c r="AF26" i="4"/>
  <c r="X26" i="4"/>
  <c r="BR25" i="4"/>
  <c r="BU25" i="4" s="1"/>
  <c r="AR25" i="4"/>
  <c r="AS25" i="4" s="1"/>
  <c r="BT24" i="4"/>
  <c r="BT21" i="4"/>
  <c r="BU21" i="4" s="1"/>
  <c r="AF19" i="4"/>
  <c r="X19" i="4"/>
  <c r="BR18" i="4"/>
  <c r="AR18" i="4"/>
  <c r="AS18" i="4" s="1"/>
  <c r="BR17" i="4"/>
  <c r="AR17" i="4"/>
  <c r="BT55" i="4"/>
  <c r="AF55" i="4"/>
  <c r="X55" i="4"/>
  <c r="BR56" i="4"/>
  <c r="AR56" i="4"/>
  <c r="AS56" i="4" s="1"/>
  <c r="AR54" i="4"/>
  <c r="AS54" i="4" s="1"/>
  <c r="BT52" i="4"/>
  <c r="AX52" i="4"/>
  <c r="BT51" i="4"/>
  <c r="AR48" i="4"/>
  <c r="AS48" i="4" s="1"/>
  <c r="X48" i="4"/>
  <c r="AR43" i="4"/>
  <c r="AS43" i="4" s="1"/>
  <c r="BR40" i="4"/>
  <c r="BU40" i="4" s="1"/>
  <c r="BT39" i="4"/>
  <c r="AR37" i="4"/>
  <c r="AS37" i="4" s="1"/>
  <c r="AF37" i="4"/>
  <c r="AF34" i="4"/>
  <c r="AX33" i="4"/>
  <c r="X32" i="4"/>
  <c r="BR31" i="4"/>
  <c r="BU31" i="4" s="1"/>
  <c r="AX31" i="4"/>
  <c r="AR23" i="4"/>
  <c r="AS23" i="4" s="1"/>
  <c r="BR22" i="4"/>
  <c r="BU22" i="4" s="1"/>
  <c r="AX22" i="4"/>
  <c r="AX51" i="4"/>
  <c r="BR49" i="4"/>
  <c r="AF48" i="4"/>
  <c r="X47" i="4"/>
  <c r="AX44" i="4"/>
  <c r="AX35" i="4"/>
  <c r="BR33" i="4"/>
  <c r="BU33" i="4" s="1"/>
  <c r="AR32" i="4"/>
  <c r="AS32" i="4" s="1"/>
  <c r="AF32" i="4"/>
  <c r="BR26" i="4"/>
  <c r="BU26" i="4" s="1"/>
  <c r="AR24" i="4"/>
  <c r="AS24" i="4" s="1"/>
  <c r="X24" i="4"/>
  <c r="BR55" i="4"/>
  <c r="BU55" i="4" s="1"/>
  <c r="AR27" i="4"/>
  <c r="AS27" i="4" s="1"/>
  <c r="BR23" i="4"/>
  <c r="BU23" i="4" s="1"/>
  <c r="X23" i="4"/>
  <c r="BR52" i="4"/>
  <c r="BR51" i="4"/>
  <c r="X50" i="4"/>
  <c r="BT48" i="4"/>
  <c r="AR47" i="4"/>
  <c r="AF47" i="4"/>
  <c r="BR44" i="4"/>
  <c r="BU44" i="4" s="1"/>
  <c r="BT43" i="4"/>
  <c r="AX42" i="4"/>
  <c r="AR41" i="4"/>
  <c r="X41" i="4"/>
  <c r="BR39" i="4"/>
  <c r="BT38" i="4"/>
  <c r="AX38" i="4"/>
  <c r="BT37" i="4"/>
  <c r="BU37" i="4" s="1"/>
  <c r="BT34" i="4"/>
  <c r="BT27" i="4"/>
  <c r="BU27" i="4" s="1"/>
  <c r="AF27" i="4"/>
  <c r="X27" i="4"/>
  <c r="AF24" i="4"/>
  <c r="AX23" i="4"/>
  <c r="AF23" i="4"/>
  <c r="BT19" i="4"/>
  <c r="AR19" i="4"/>
  <c r="AX17" i="4"/>
  <c r="AF17" i="4"/>
  <c r="BT20" i="4"/>
  <c r="AR21" i="4"/>
  <c r="AS21" i="4" s="1"/>
  <c r="AC22" i="4"/>
  <c r="AJ22" i="4" s="1"/>
  <c r="BR28" i="4"/>
  <c r="BU28" i="4" s="1"/>
  <c r="BR32" i="4"/>
  <c r="AR34" i="4"/>
  <c r="AS34" i="4" s="1"/>
  <c r="BR34" i="4"/>
  <c r="BU34" i="4" s="1"/>
  <c r="AR35" i="4"/>
  <c r="BR35" i="4"/>
  <c r="BU35" i="4" s="1"/>
  <c r="AC38" i="4"/>
  <c r="AJ38" i="4" s="1"/>
  <c r="BU38" i="4"/>
  <c r="AX41" i="4"/>
  <c r="BR43" i="4"/>
  <c r="BU43" i="4" s="1"/>
  <c r="BR46" i="4"/>
  <c r="BT47" i="4"/>
  <c r="BU47" i="4" s="1"/>
  <c r="AR50" i="4"/>
  <c r="AS50" i="4" s="1"/>
  <c r="AC56" i="4"/>
  <c r="AI33" i="3"/>
  <c r="AS38" i="3"/>
  <c r="AX42" i="3"/>
  <c r="AR46" i="3"/>
  <c r="AS46" i="3" s="1"/>
  <c r="AX47" i="3"/>
  <c r="AX50" i="3"/>
  <c r="AI51" i="3"/>
  <c r="AR52" i="3"/>
  <c r="BR52" i="3"/>
  <c r="BU52" i="3" s="1"/>
  <c r="AR56" i="3"/>
  <c r="AS56" i="3" s="1"/>
  <c r="BT56" i="3"/>
  <c r="AE20" i="4"/>
  <c r="AI20" i="4" s="1"/>
  <c r="AB20" i="4"/>
  <c r="AI28" i="4"/>
  <c r="AS29" i="4"/>
  <c r="AI30" i="4"/>
  <c r="AS40" i="4"/>
  <c r="BR48" i="4"/>
  <c r="BU48" i="4" s="1"/>
  <c r="BT50" i="4"/>
  <c r="BU50" i="4" s="1"/>
  <c r="X52" i="4"/>
  <c r="AF52" i="4"/>
  <c r="BR53" i="4"/>
  <c r="BU53" i="4" s="1"/>
  <c r="BA19" i="5"/>
  <c r="BH36" i="5"/>
  <c r="AS43" i="5"/>
  <c r="BH35" i="6"/>
  <c r="AF17" i="3"/>
  <c r="AR17" i="3"/>
  <c r="BA17" i="3"/>
  <c r="BL17" i="3"/>
  <c r="BL58" i="3" s="1"/>
  <c r="AI20" i="3"/>
  <c r="AS20" i="3"/>
  <c r="AX20" i="3"/>
  <c r="BR20" i="3"/>
  <c r="BR22" i="3"/>
  <c r="BU22" i="3" s="1"/>
  <c r="AF25" i="3"/>
  <c r="AI25" i="3" s="1"/>
  <c r="AR25" i="3"/>
  <c r="AS25" i="3" s="1"/>
  <c r="BU25" i="3"/>
  <c r="AF26" i="3"/>
  <c r="AR26" i="3"/>
  <c r="AX28" i="3"/>
  <c r="X29" i="3"/>
  <c r="AF29" i="3"/>
  <c r="BU32" i="3"/>
  <c r="AX34" i="3"/>
  <c r="AX35" i="3"/>
  <c r="X37" i="3"/>
  <c r="AR37" i="3"/>
  <c r="AS37" i="3" s="1"/>
  <c r="AI38" i="3"/>
  <c r="BT39" i="3"/>
  <c r="AF41" i="3"/>
  <c r="AI41" i="3" s="1"/>
  <c r="AR41" i="3"/>
  <c r="AS41" i="3" s="1"/>
  <c r="AR43" i="3"/>
  <c r="AS43" i="3" s="1"/>
  <c r="AF44" i="3"/>
  <c r="AI48" i="3"/>
  <c r="AJ48" i="3" s="1"/>
  <c r="BR49" i="3"/>
  <c r="BU49" i="3" s="1"/>
  <c r="AS50" i="3"/>
  <c r="BT51" i="3"/>
  <c r="BU53" i="3"/>
  <c r="BT55" i="3"/>
  <c r="AF56" i="3"/>
  <c r="X17" i="4"/>
  <c r="BH17" i="4"/>
  <c r="AF18" i="4"/>
  <c r="AX18" i="4"/>
  <c r="AC20" i="4"/>
  <c r="BR24" i="4"/>
  <c r="BU24" i="4" s="1"/>
  <c r="BT28" i="4"/>
  <c r="BT32" i="4"/>
  <c r="AF33" i="4"/>
  <c r="AR33" i="4"/>
  <c r="AS33" i="4" s="1"/>
  <c r="X34" i="4"/>
  <c r="BR36" i="4"/>
  <c r="BU36" i="4" s="1"/>
  <c r="AR39" i="4"/>
  <c r="AS39" i="4" s="1"/>
  <c r="AS41" i="4"/>
  <c r="AR44" i="4"/>
  <c r="AS44" i="4" s="1"/>
  <c r="AR46" i="4"/>
  <c r="AS46" i="4" s="1"/>
  <c r="BT46" i="4"/>
  <c r="BH48" i="4"/>
  <c r="AF51" i="4"/>
  <c r="AR51" i="4"/>
  <c r="AS51" i="4" s="1"/>
  <c r="BU51" i="4"/>
  <c r="AS52" i="4"/>
  <c r="BT54" i="4"/>
  <c r="AS23" i="5"/>
  <c r="BH24" i="6"/>
  <c r="AS53" i="4"/>
  <c r="AC36" i="5"/>
  <c r="BS58" i="6"/>
  <c r="BH52" i="6"/>
  <c r="AS27" i="5"/>
  <c r="AS33" i="5"/>
  <c r="AS53" i="5"/>
  <c r="BU17" i="6"/>
  <c r="AY58" i="4"/>
  <c r="AS35" i="4"/>
  <c r="AS30" i="5"/>
  <c r="BA17" i="4"/>
  <c r="BL17" i="4"/>
  <c r="BL58" i="4" s="1"/>
  <c r="AI53" i="4"/>
  <c r="AI56" i="4"/>
  <c r="AS18" i="5"/>
  <c r="AS20" i="5"/>
  <c r="AS21" i="5"/>
  <c r="AB17" i="6"/>
  <c r="AE17" i="6"/>
  <c r="AB28" i="6"/>
  <c r="AC28" i="6" s="1"/>
  <c r="AS22" i="5"/>
  <c r="AS40" i="5"/>
  <c r="AS44" i="5"/>
  <c r="P53" i="6"/>
  <c r="P54" i="6" s="1"/>
  <c r="BT28" i="6"/>
  <c r="BT27" i="6"/>
  <c r="BT26" i="6"/>
  <c r="BT36" i="6"/>
  <c r="BT31" i="6"/>
  <c r="BT32" i="6"/>
  <c r="BT24" i="6"/>
  <c r="BT21" i="6"/>
  <c r="BT22" i="6"/>
  <c r="P94" i="4"/>
  <c r="AS34" i="5"/>
  <c r="AS37" i="5"/>
  <c r="AC20" i="6"/>
  <c r="AH19" i="5"/>
  <c r="BH23" i="5"/>
  <c r="AS26" i="5"/>
  <c r="BH48" i="5"/>
  <c r="BU52" i="5"/>
  <c r="P90" i="5"/>
  <c r="U87" i="5" s="1"/>
  <c r="U92" i="5" s="1"/>
  <c r="AR19" i="5" s="1"/>
  <c r="BH26" i="6"/>
  <c r="BT37" i="6"/>
  <c r="BH26" i="5"/>
  <c r="AS50" i="5"/>
  <c r="AS52" i="5"/>
  <c r="AS55" i="5"/>
  <c r="P93" i="5"/>
  <c r="BT19" i="5" s="1"/>
  <c r="BH20" i="6"/>
  <c r="BH28" i="6"/>
  <c r="O29" i="6"/>
  <c r="BU56" i="6"/>
  <c r="AS38" i="5"/>
  <c r="BU42" i="5"/>
  <c r="AS46" i="5"/>
  <c r="BU46" i="5"/>
  <c r="AB25" i="6"/>
  <c r="AC25" i="6" s="1"/>
  <c r="BU54" i="5"/>
  <c r="BL17" i="6"/>
  <c r="AB20" i="6"/>
  <c r="BH21" i="6"/>
  <c r="AS23" i="6"/>
  <c r="BH46" i="6"/>
  <c r="AB26" i="6"/>
  <c r="AC26" i="6" s="1"/>
  <c r="U93" i="6"/>
  <c r="AR19" i="6" s="1"/>
  <c r="AS54" i="5"/>
  <c r="BA19" i="6"/>
  <c r="BA17" i="6"/>
  <c r="BA18" i="6"/>
  <c r="BU18" i="6"/>
  <c r="BH27" i="6"/>
  <c r="AC17" i="6"/>
  <c r="BH30" i="6"/>
  <c r="AB37" i="6"/>
  <c r="BH43" i="6"/>
  <c r="Y58" i="7"/>
  <c r="BH34" i="6"/>
  <c r="AI41" i="6"/>
  <c r="AE44" i="6"/>
  <c r="AB44" i="6"/>
  <c r="AS47" i="6"/>
  <c r="AS56" i="6"/>
  <c r="BR38" i="7"/>
  <c r="AC44" i="6"/>
  <c r="AH17" i="7"/>
  <c r="X49" i="6"/>
  <c r="AX49" i="6"/>
  <c r="X51" i="6"/>
  <c r="BH17" i="7"/>
  <c r="BR21" i="6"/>
  <c r="X23" i="6"/>
  <c r="AF23" i="6"/>
  <c r="AR23" i="6"/>
  <c r="BT29" i="6"/>
  <c r="BR30" i="6"/>
  <c r="X31" i="6"/>
  <c r="AF32" i="6"/>
  <c r="AX33" i="6"/>
  <c r="AB34" i="6"/>
  <c r="AC34" i="6" s="1"/>
  <c r="X36" i="6"/>
  <c r="AX36" i="6"/>
  <c r="AC37" i="6"/>
  <c r="AC41" i="6"/>
  <c r="AJ41" i="6" s="1"/>
  <c r="X42" i="6"/>
  <c r="BR43" i="6"/>
  <c r="AR44" i="6"/>
  <c r="AF45" i="6"/>
  <c r="BR47" i="6"/>
  <c r="BU51" i="6"/>
  <c r="BH18" i="7"/>
  <c r="X22" i="7"/>
  <c r="AD19" i="7"/>
  <c r="O31" i="7"/>
  <c r="O32" i="7" s="1"/>
  <c r="AF29" i="7"/>
  <c r="AX55" i="6"/>
  <c r="AF55" i="6"/>
  <c r="X55" i="6"/>
  <c r="BR54" i="6"/>
  <c r="BU54" i="6" s="1"/>
  <c r="AR54" i="6"/>
  <c r="AS54" i="6" s="1"/>
  <c r="AX52" i="6"/>
  <c r="AF52" i="6"/>
  <c r="X52" i="6"/>
  <c r="BT51" i="6"/>
  <c r="AX50" i="6"/>
  <c r="AF50" i="6"/>
  <c r="X50" i="6"/>
  <c r="AX40" i="6"/>
  <c r="AF40" i="6"/>
  <c r="X40" i="6"/>
  <c r="BT56" i="6"/>
  <c r="AX54" i="6"/>
  <c r="AF54" i="6"/>
  <c r="X54" i="6"/>
  <c r="BR51" i="6"/>
  <c r="AR51" i="6"/>
  <c r="AS51" i="6" s="1"/>
  <c r="BT48" i="6"/>
  <c r="AX53" i="6"/>
  <c r="BT52" i="6"/>
  <c r="BR49" i="6"/>
  <c r="BU49" i="6" s="1"/>
  <c r="AX48" i="6"/>
  <c r="BT46" i="6"/>
  <c r="BU46" i="6" s="1"/>
  <c r="AF46" i="6"/>
  <c r="X46" i="6"/>
  <c r="AX45" i="6"/>
  <c r="BT38" i="6"/>
  <c r="AR56" i="6"/>
  <c r="AF56" i="6"/>
  <c r="AR55" i="6"/>
  <c r="AS55" i="6" s="1"/>
  <c r="BR52" i="6"/>
  <c r="BU52" i="6" s="1"/>
  <c r="AX51" i="6"/>
  <c r="BR48" i="6"/>
  <c r="BU48" i="6" s="1"/>
  <c r="BT47" i="6"/>
  <c r="AF47" i="6"/>
  <c r="X47" i="6"/>
  <c r="BR46" i="6"/>
  <c r="AX46" i="6"/>
  <c r="BT44" i="6"/>
  <c r="AR43" i="6"/>
  <c r="AS43" i="6" s="1"/>
  <c r="BT42" i="6"/>
  <c r="X56" i="6"/>
  <c r="BR53" i="6"/>
  <c r="AR52" i="6"/>
  <c r="AS52" i="6" s="1"/>
  <c r="AR49" i="6"/>
  <c r="X48" i="6"/>
  <c r="BR44" i="6"/>
  <c r="BU44" i="6" s="1"/>
  <c r="BR39" i="6"/>
  <c r="AR38" i="6"/>
  <c r="AS38" i="6" s="1"/>
  <c r="X38" i="6"/>
  <c r="BR37" i="6"/>
  <c r="AF37" i="6"/>
  <c r="BT34" i="6"/>
  <c r="AR34" i="6"/>
  <c r="AS34" i="6" s="1"/>
  <c r="BT33" i="6"/>
  <c r="AF33" i="6"/>
  <c r="X33" i="6"/>
  <c r="AX32" i="6"/>
  <c r="AX29" i="6"/>
  <c r="AF29" i="6"/>
  <c r="X29" i="6"/>
  <c r="AX27" i="6"/>
  <c r="AF27" i="6"/>
  <c r="X27" i="6"/>
  <c r="BR26" i="6"/>
  <c r="BR58" i="6" s="1"/>
  <c r="AR26" i="6"/>
  <c r="AS26" i="6" s="1"/>
  <c r="BT25" i="6"/>
  <c r="BT18" i="6"/>
  <c r="BT17" i="6"/>
  <c r="AF51" i="6"/>
  <c r="AF48" i="6"/>
  <c r="AX42" i="6"/>
  <c r="AR40" i="6"/>
  <c r="AS40" i="6" s="1"/>
  <c r="BR38" i="6"/>
  <c r="AX38" i="6"/>
  <c r="BR34" i="6"/>
  <c r="O104" i="6"/>
  <c r="BT55" i="6"/>
  <c r="BU55" i="6" s="1"/>
  <c r="X53" i="6"/>
  <c r="BT50" i="6"/>
  <c r="BU50" i="6" s="1"/>
  <c r="AR48" i="6"/>
  <c r="AS48" i="6" s="1"/>
  <c r="BR45" i="6"/>
  <c r="BU45" i="6" s="1"/>
  <c r="X45" i="6"/>
  <c r="BR41" i="6"/>
  <c r="BU41" i="6" s="1"/>
  <c r="AR39" i="6"/>
  <c r="AF39" i="6"/>
  <c r="X39" i="6"/>
  <c r="AR36" i="6"/>
  <c r="AS36" i="6" s="1"/>
  <c r="BT35" i="6"/>
  <c r="AR35" i="6"/>
  <c r="AS35" i="6" s="1"/>
  <c r="X35" i="6"/>
  <c r="AX34" i="6"/>
  <c r="AX30" i="6"/>
  <c r="AF30" i="6"/>
  <c r="X30" i="6"/>
  <c r="BR28" i="6"/>
  <c r="AR28" i="6"/>
  <c r="AS28" i="6" s="1"/>
  <c r="AX22" i="6"/>
  <c r="AX58" i="6" s="1"/>
  <c r="AF22" i="6"/>
  <c r="X22" i="6"/>
  <c r="X18" i="6"/>
  <c r="AF18" i="6"/>
  <c r="AF58" i="6" s="1"/>
  <c r="AR18" i="6"/>
  <c r="AS18" i="6" s="1"/>
  <c r="AX20" i="6"/>
  <c r="BT20" i="6"/>
  <c r="BR22" i="6"/>
  <c r="X24" i="6"/>
  <c r="AF24" i="6"/>
  <c r="AR24" i="6"/>
  <c r="AS24" i="6" s="1"/>
  <c r="AF25" i="6"/>
  <c r="AR25" i="6"/>
  <c r="AS25" i="6" s="1"/>
  <c r="AF26" i="6"/>
  <c r="AR27" i="6"/>
  <c r="AS27" i="6" s="1"/>
  <c r="X32" i="6"/>
  <c r="BR32" i="6"/>
  <c r="AS39" i="6"/>
  <c r="BR40" i="6"/>
  <c r="BU40" i="6" s="1"/>
  <c r="BR42" i="6"/>
  <c r="AF44" i="6"/>
  <c r="AF53" i="6"/>
  <c r="BT53" i="6"/>
  <c r="BU53" i="6" s="1"/>
  <c r="O104" i="7"/>
  <c r="AX56" i="7"/>
  <c r="AF56" i="7"/>
  <c r="X56" i="7"/>
  <c r="BR53" i="7"/>
  <c r="AR53" i="7"/>
  <c r="AS53" i="7" s="1"/>
  <c r="AX50" i="7"/>
  <c r="AF50" i="7"/>
  <c r="X50" i="7"/>
  <c r="AX48" i="7"/>
  <c r="AF48" i="7"/>
  <c r="X48" i="7"/>
  <c r="AX53" i="7"/>
  <c r="AF53" i="7"/>
  <c r="X53" i="7"/>
  <c r="BR49" i="7"/>
  <c r="BU49" i="7" s="1"/>
  <c r="AR49" i="7"/>
  <c r="BR47" i="7"/>
  <c r="AR47" i="7"/>
  <c r="AS47" i="7" s="1"/>
  <c r="BT46" i="7" a="1"/>
  <c r="BT46" i="7" s="1"/>
  <c r="BU46" i="7" s="1"/>
  <c r="AX45" i="7"/>
  <c r="AF45" i="7"/>
  <c r="X45" i="7"/>
  <c r="BT56" i="7" a="1"/>
  <c r="BT56" i="7" s="1"/>
  <c r="AX55" i="7"/>
  <c r="AF55" i="7"/>
  <c r="X55" i="7"/>
  <c r="BR56" i="7"/>
  <c r="BU56" i="7" s="1"/>
  <c r="AR56" i="7"/>
  <c r="AS56" i="7" s="1"/>
  <c r="BT55" i="7" a="1"/>
  <c r="BT55" i="7" s="1"/>
  <c r="AX54" i="7"/>
  <c r="AF54" i="7"/>
  <c r="X54" i="7"/>
  <c r="AX52" i="7"/>
  <c r="AF52" i="7"/>
  <c r="X52" i="7"/>
  <c r="BT51" i="7" a="1"/>
  <c r="BT51" i="7" s="1"/>
  <c r="BR50" i="7"/>
  <c r="BU50" i="7" s="1"/>
  <c r="AR50" i="7"/>
  <c r="AS50" i="7" s="1"/>
  <c r="BR48" i="7"/>
  <c r="AR48" i="7"/>
  <c r="AS48" i="7" s="1"/>
  <c r="AR51" i="7"/>
  <c r="BT49" i="7" a="1"/>
  <c r="BT49" i="7" s="1"/>
  <c r="AF49" i="7"/>
  <c r="X46" i="7"/>
  <c r="AX43" i="7"/>
  <c r="AF43" i="7"/>
  <c r="X43" i="7"/>
  <c r="BT42" i="7" a="1"/>
  <c r="BT42" i="7" s="1"/>
  <c r="BR41" i="7"/>
  <c r="AR41" i="7"/>
  <c r="AX40" i="7"/>
  <c r="AF40" i="7"/>
  <c r="X40" i="7"/>
  <c r="AR52" i="7"/>
  <c r="AS52" i="7" s="1"/>
  <c r="AX47" i="7"/>
  <c r="AR46" i="7"/>
  <c r="AS46" i="7" s="1"/>
  <c r="BR37" i="7"/>
  <c r="BT36" i="7" a="1"/>
  <c r="BT36" i="7" s="1"/>
  <c r="BR35" i="7"/>
  <c r="BT50" i="7" a="1"/>
  <c r="BT50" i="7" s="1"/>
  <c r="BT44" i="7" a="1"/>
  <c r="BT44" i="7" s="1"/>
  <c r="AR44" i="7"/>
  <c r="BT43" i="7" a="1"/>
  <c r="BT43" i="7" s="1"/>
  <c r="BR42" i="7"/>
  <c r="BU42" i="7" s="1"/>
  <c r="AR42" i="7"/>
  <c r="AS42" i="7" s="1"/>
  <c r="BT40" i="7" a="1"/>
  <c r="BT40" i="7" s="1"/>
  <c r="AX37" i="7"/>
  <c r="AF37" i="7"/>
  <c r="X37" i="7"/>
  <c r="AX35" i="7"/>
  <c r="AF35" i="7"/>
  <c r="X35" i="7"/>
  <c r="AX33" i="7"/>
  <c r="AF33" i="7"/>
  <c r="BT54" i="7" a="1"/>
  <c r="BT54" i="7" s="1"/>
  <c r="BT52" i="7" a="1"/>
  <c r="BT52" i="7" s="1"/>
  <c r="AX49" i="7"/>
  <c r="X51" i="7"/>
  <c r="X47" i="7"/>
  <c r="X42" i="7"/>
  <c r="X41" i="7"/>
  <c r="BR40" i="7"/>
  <c r="BU40" i="7" s="1"/>
  <c r="AX51" i="7"/>
  <c r="BR44" i="7"/>
  <c r="BT53" i="7" a="1"/>
  <c r="BT53" i="7" s="1"/>
  <c r="AF51" i="7"/>
  <c r="BT47" i="7" a="1"/>
  <c r="BT47" i="7" s="1"/>
  <c r="AF47" i="7"/>
  <c r="AX46" i="7"/>
  <c r="AF42" i="7"/>
  <c r="AX39" i="7"/>
  <c r="BT37" i="7" a="1"/>
  <c r="BT37" i="7" s="1"/>
  <c r="AF34" i="7"/>
  <c r="X34" i="7"/>
  <c r="X33" i="7"/>
  <c r="AX31" i="7"/>
  <c r="AF31" i="7"/>
  <c r="X31" i="7"/>
  <c r="BR54" i="7"/>
  <c r="AR45" i="7"/>
  <c r="AS45" i="7" s="1"/>
  <c r="AX38" i="7"/>
  <c r="AF46" i="7"/>
  <c r="AX44" i="7"/>
  <c r="AF44" i="7"/>
  <c r="BT39" i="7" a="1"/>
  <c r="BT39" i="7" s="1"/>
  <c r="AR34" i="7"/>
  <c r="BR33" i="7"/>
  <c r="BT32" i="7" a="1"/>
  <c r="BT32" i="7" s="1"/>
  <c r="AR32" i="7"/>
  <c r="AS32" i="7" s="1"/>
  <c r="BT31" i="7" a="1"/>
  <c r="BT31" i="7" s="1"/>
  <c r="X30" i="7"/>
  <c r="BT29" i="7" a="1"/>
  <c r="BT29" i="7" s="1"/>
  <c r="BR55" i="7"/>
  <c r="BU55" i="7" s="1"/>
  <c r="AR54" i="7"/>
  <c r="BR52" i="7"/>
  <c r="BR46" i="7"/>
  <c r="BR45" i="7"/>
  <c r="BU45" i="7" s="1"/>
  <c r="AR40" i="7"/>
  <c r="AS40" i="7" s="1"/>
  <c r="AR39" i="7"/>
  <c r="AF27" i="7"/>
  <c r="X27" i="7"/>
  <c r="BR26" i="7"/>
  <c r="AX26" i="7"/>
  <c r="BR43" i="7"/>
  <c r="BU43" i="7" s="1"/>
  <c r="AF41" i="7"/>
  <c r="BT48" i="7" a="1"/>
  <c r="BT48" i="7" s="1"/>
  <c r="BU48" i="7" s="1"/>
  <c r="X38" i="7"/>
  <c r="AX36" i="7"/>
  <c r="BT35" i="7" a="1"/>
  <c r="BT35" i="7" s="1"/>
  <c r="BR31" i="7"/>
  <c r="AR55" i="7"/>
  <c r="AF28" i="7"/>
  <c r="BT25" i="7" a="1"/>
  <c r="BT25" i="7" s="1"/>
  <c r="AR25" i="7"/>
  <c r="AS25" i="7" s="1"/>
  <c r="AF24" i="7"/>
  <c r="BR23" i="7"/>
  <c r="AX21" i="7"/>
  <c r="AF21" i="7"/>
  <c r="X21" i="7"/>
  <c r="AF18" i="7"/>
  <c r="X18" i="7"/>
  <c r="BR17" i="7"/>
  <c r="X44" i="7"/>
  <c r="BR34" i="7"/>
  <c r="AF30" i="7"/>
  <c r="AF25" i="7"/>
  <c r="X25" i="7"/>
  <c r="BR24" i="7"/>
  <c r="AX24" i="7"/>
  <c r="AX23" i="7"/>
  <c r="AF23" i="7"/>
  <c r="X23" i="7"/>
  <c r="AX18" i="7"/>
  <c r="AF17" i="7"/>
  <c r="X17" i="7"/>
  <c r="X39" i="7"/>
  <c r="AX32" i="7"/>
  <c r="BR30" i="7"/>
  <c r="AX29" i="7"/>
  <c r="BT28" i="7" a="1"/>
  <c r="BT28" i="7" s="1"/>
  <c r="AX25" i="7"/>
  <c r="BR22" i="7"/>
  <c r="AR22" i="7"/>
  <c r="AS22" i="7" s="1"/>
  <c r="BR20" i="7"/>
  <c r="AR20" i="7"/>
  <c r="AS20" i="7" s="1"/>
  <c r="BT19" i="7" a="1"/>
  <c r="BT19" i="7" s="1"/>
  <c r="AX17" i="7"/>
  <c r="X49" i="7"/>
  <c r="X36" i="7"/>
  <c r="AX34" i="7"/>
  <c r="X32" i="7"/>
  <c r="X26" i="7"/>
  <c r="BR25" i="7"/>
  <c r="BT21" i="7" a="1"/>
  <c r="BT21" i="7" s="1"/>
  <c r="BT45" i="7" a="1"/>
  <c r="BT45" i="7" s="1"/>
  <c r="AR43" i="7"/>
  <c r="AS43" i="7" s="1"/>
  <c r="AF38" i="7"/>
  <c r="BR39" i="7"/>
  <c r="AF36" i="7"/>
  <c r="X28" i="7"/>
  <c r="BT24" i="7" a="1"/>
  <c r="BT24" i="7" s="1"/>
  <c r="AF22" i="7"/>
  <c r="BR18" i="7"/>
  <c r="BT41" i="7" a="1"/>
  <c r="BT41" i="7" s="1"/>
  <c r="AF39" i="7"/>
  <c r="BR28" i="7"/>
  <c r="AX28" i="7"/>
  <c r="AF26" i="7"/>
  <c r="AX41" i="7"/>
  <c r="AF32" i="7"/>
  <c r="X24" i="7"/>
  <c r="X19" i="7"/>
  <c r="BR51" i="7"/>
  <c r="BU51" i="7" s="1"/>
  <c r="X29" i="7"/>
  <c r="BT27" i="7" a="1"/>
  <c r="BT27" i="7" s="1"/>
  <c r="AR23" i="7"/>
  <c r="AS23" i="7" s="1"/>
  <c r="AR21" i="7"/>
  <c r="AS21" i="7" s="1"/>
  <c r="BT20" i="7" a="1"/>
  <c r="BT20" i="7" s="1"/>
  <c r="BR19" i="7"/>
  <c r="AR19" i="7"/>
  <c r="BT18" i="7" a="1"/>
  <c r="BT18" i="7" s="1"/>
  <c r="BR27" i="7"/>
  <c r="BT23" i="7" a="1"/>
  <c r="BT23" i="7" s="1"/>
  <c r="AR36" i="7"/>
  <c r="AS36" i="7" s="1"/>
  <c r="X20" i="7"/>
  <c r="AX30" i="7"/>
  <c r="BR29" i="7"/>
  <c r="BR21" i="7"/>
  <c r="AF19" i="7"/>
  <c r="AH19" i="7"/>
  <c r="AR24" i="7"/>
  <c r="AS24" i="7" s="1"/>
  <c r="BH28" i="7"/>
  <c r="AS44" i="6"/>
  <c r="AS49" i="6"/>
  <c r="BH31" i="7"/>
  <c r="BH32" i="7"/>
  <c r="AI44" i="6"/>
  <c r="BM58" i="7"/>
  <c r="AH19" i="6"/>
  <c r="AS41" i="6"/>
  <c r="AS42" i="6"/>
  <c r="AI43" i="6"/>
  <c r="AJ43" i="6" s="1"/>
  <c r="BU43" i="6"/>
  <c r="AS50" i="6"/>
  <c r="BH25" i="7"/>
  <c r="BH36" i="7"/>
  <c r="BH51" i="7"/>
  <c r="AS46" i="6"/>
  <c r="O108" i="6"/>
  <c r="O109" i="6" s="1"/>
  <c r="U94" i="6"/>
  <c r="BS58" i="7"/>
  <c r="BH46" i="7"/>
  <c r="AD58" i="7"/>
  <c r="AS41" i="7"/>
  <c r="AS34" i="7"/>
  <c r="BU47" i="7"/>
  <c r="BU52" i="7"/>
  <c r="BH29" i="7"/>
  <c r="AS44" i="7"/>
  <c r="AS49" i="7"/>
  <c r="AS39" i="7"/>
  <c r="BH48" i="7"/>
  <c r="AS55" i="7"/>
  <c r="Q30" i="8"/>
  <c r="AS51" i="7"/>
  <c r="BU54" i="7"/>
  <c r="P94" i="7"/>
  <c r="P93" i="7"/>
  <c r="AS54" i="7"/>
  <c r="U93" i="7"/>
  <c r="AR37" i="7" s="1"/>
  <c r="AS37" i="7" s="1"/>
  <c r="T30" i="8"/>
  <c r="D14" i="9" a="1"/>
  <c r="D14" i="9" s="1"/>
  <c r="K30" i="8"/>
  <c r="E3" i="9"/>
  <c r="D3" i="9"/>
  <c r="D29" i="9" a="1"/>
  <c r="D29" i="9" s="1"/>
  <c r="D21" i="9" a="1"/>
  <c r="D21" i="9" s="1"/>
  <c r="D17" i="9" a="1"/>
  <c r="D17" i="9" s="1"/>
  <c r="D15" i="9" a="1"/>
  <c r="D15" i="9" s="1"/>
  <c r="D13" i="9" a="1"/>
  <c r="D13" i="9" s="1"/>
  <c r="D5" i="9" a="1"/>
  <c r="D5" i="9" s="1"/>
  <c r="D26" i="9" a="1"/>
  <c r="D26" i="9" s="1"/>
  <c r="I33" i="9" a="1"/>
  <c r="I33" i="9" s="1"/>
  <c r="I31" i="9" a="1"/>
  <c r="I31" i="9" s="1"/>
  <c r="I29" i="9" a="1"/>
  <c r="I29" i="9" s="1"/>
  <c r="I27" i="9" a="1"/>
  <c r="I27" i="9" s="1"/>
  <c r="I25" i="9" a="1"/>
  <c r="I25" i="9" s="1"/>
  <c r="I23" i="9" a="1"/>
  <c r="I23" i="9" s="1"/>
  <c r="I21" i="9" a="1"/>
  <c r="I21" i="9" s="1"/>
  <c r="I19" i="9" a="1"/>
  <c r="I19" i="9" s="1"/>
  <c r="I17" i="9" a="1"/>
  <c r="I17" i="9" s="1"/>
  <c r="I15" i="9" a="1"/>
  <c r="I15" i="9" s="1"/>
  <c r="I13" i="9" a="1"/>
  <c r="I13" i="9" s="1"/>
  <c r="I11" i="9" a="1"/>
  <c r="I11" i="9" s="1"/>
  <c r="I9" i="9" a="1"/>
  <c r="I9" i="9" s="1"/>
  <c r="I7" i="9" a="1"/>
  <c r="I7" i="9" s="1"/>
  <c r="I5" i="9" a="1"/>
  <c r="I5" i="9" s="1"/>
  <c r="H33" i="9" a="1"/>
  <c r="H33" i="9" s="1"/>
  <c r="H31" i="9" a="1"/>
  <c r="H31" i="9" s="1"/>
  <c r="H29" i="9" a="1"/>
  <c r="H29" i="9" s="1"/>
  <c r="H27" i="9" a="1"/>
  <c r="H27" i="9" s="1"/>
  <c r="H25" i="9" a="1"/>
  <c r="H25" i="9" s="1"/>
  <c r="H23" i="9" a="1"/>
  <c r="H23" i="9" s="1"/>
  <c r="H21" i="9" a="1"/>
  <c r="H21" i="9" s="1"/>
  <c r="H19" i="9" a="1"/>
  <c r="H19" i="9" s="1"/>
  <c r="H17" i="9" a="1"/>
  <c r="H17" i="9" s="1"/>
  <c r="H15" i="9" a="1"/>
  <c r="H15" i="9" s="1"/>
  <c r="H13" i="9" a="1"/>
  <c r="H13" i="9" s="1"/>
  <c r="H11" i="9" a="1"/>
  <c r="H11" i="9" s="1"/>
  <c r="H9" i="9" a="1"/>
  <c r="H9" i="9" s="1"/>
  <c r="H7" i="9" a="1"/>
  <c r="H7" i="9" s="1"/>
  <c r="H5" i="9" a="1"/>
  <c r="H5" i="9" s="1"/>
  <c r="I32" i="9" a="1"/>
  <c r="I32" i="9" s="1"/>
  <c r="I30" i="9" a="1"/>
  <c r="I30" i="9" s="1"/>
  <c r="I28" i="9" a="1"/>
  <c r="I28" i="9" s="1"/>
  <c r="I26" i="9" a="1"/>
  <c r="I26" i="9" s="1"/>
  <c r="I24" i="9" a="1"/>
  <c r="I24" i="9" s="1"/>
  <c r="I22" i="9" a="1"/>
  <c r="I22" i="9" s="1"/>
  <c r="I20" i="9" a="1"/>
  <c r="I20" i="9" s="1"/>
  <c r="I18" i="9" a="1"/>
  <c r="I18" i="9" s="1"/>
  <c r="I16" i="9" a="1"/>
  <c r="I16" i="9" s="1"/>
  <c r="I14" i="9" a="1"/>
  <c r="I14" i="9" s="1"/>
  <c r="I12" i="9" a="1"/>
  <c r="I12" i="9" s="1"/>
  <c r="I10" i="9" a="1"/>
  <c r="I10" i="9" s="1"/>
  <c r="H3" i="9"/>
  <c r="H32" i="9" a="1"/>
  <c r="H32" i="9" s="1"/>
  <c r="H30" i="9" a="1"/>
  <c r="H30" i="9" s="1"/>
  <c r="H28" i="9" a="1"/>
  <c r="H28" i="9" s="1"/>
  <c r="H26" i="9" a="1"/>
  <c r="H26" i="9" s="1"/>
  <c r="I4" i="9" a="1"/>
  <c r="I4" i="9" s="1"/>
  <c r="H6" i="9" a="1"/>
  <c r="H6" i="9" s="1"/>
  <c r="F3" i="9"/>
  <c r="F31" i="9" a="1"/>
  <c r="F31" i="9" s="1"/>
  <c r="F33" i="9" a="1"/>
  <c r="F33" i="9" s="1"/>
  <c r="G19" i="9" a="1"/>
  <c r="G19" i="9" s="1"/>
  <c r="G21" i="9" a="1"/>
  <c r="G21" i="9" s="1"/>
  <c r="G23" i="9" a="1"/>
  <c r="G23" i="9" s="1"/>
  <c r="G25" i="9" a="1"/>
  <c r="G25" i="9" s="1"/>
  <c r="G27" i="9" a="1"/>
  <c r="G27" i="9" s="1"/>
  <c r="G29" i="9" a="1"/>
  <c r="G29" i="9" s="1"/>
  <c r="G31" i="9" a="1"/>
  <c r="G31" i="9" s="1"/>
  <c r="G33" i="9" a="1"/>
  <c r="G33" i="9" s="1"/>
  <c r="J3" i="9"/>
  <c r="K3" i="9"/>
  <c r="F4" i="9" a="1"/>
  <c r="F4" i="9" s="1"/>
  <c r="J4" i="9" a="1"/>
  <c r="J4" i="9" s="1"/>
  <c r="L5" i="9" a="1"/>
  <c r="L5" i="9" s="1"/>
  <c r="F6" i="9" a="1"/>
  <c r="F6" i="9" s="1"/>
  <c r="J6" i="9" a="1"/>
  <c r="J6" i="9" s="1"/>
  <c r="L7" i="9" a="1"/>
  <c r="L7" i="9" s="1"/>
  <c r="F8" i="9" a="1"/>
  <c r="F8" i="9" s="1"/>
  <c r="J8" i="9" a="1"/>
  <c r="J8" i="9" s="1"/>
  <c r="L9" i="9" a="1"/>
  <c r="L9" i="9" s="1"/>
  <c r="F10" i="9" a="1"/>
  <c r="F10" i="9" s="1"/>
  <c r="J10" i="9" a="1"/>
  <c r="J10" i="9" s="1"/>
  <c r="L11" i="9" a="1"/>
  <c r="L11" i="9" s="1"/>
  <c r="F12" i="9" a="1"/>
  <c r="F12" i="9" s="1"/>
  <c r="J12" i="9" a="1"/>
  <c r="J12" i="9" s="1"/>
  <c r="L13" i="9" a="1"/>
  <c r="L13" i="9" s="1"/>
  <c r="F14" i="9" a="1"/>
  <c r="F14" i="9" s="1"/>
  <c r="J14" i="9" a="1"/>
  <c r="J14" i="9" s="1"/>
  <c r="L15" i="9" a="1"/>
  <c r="L15" i="9" s="1"/>
  <c r="F16" i="9" a="1"/>
  <c r="F16" i="9" s="1"/>
  <c r="J16" i="9" a="1"/>
  <c r="J16" i="9" s="1"/>
  <c r="L17" i="9" a="1"/>
  <c r="L17" i="9" s="1"/>
  <c r="F18" i="9" a="1"/>
  <c r="F18" i="9" s="1"/>
  <c r="J18" i="9" a="1"/>
  <c r="J18" i="9" s="1"/>
  <c r="L19" i="9" a="1"/>
  <c r="L19" i="9" s="1"/>
  <c r="F20" i="9" a="1"/>
  <c r="F20" i="9" s="1"/>
  <c r="J20" i="9" a="1"/>
  <c r="J20" i="9" s="1"/>
  <c r="L21" i="9" a="1"/>
  <c r="L21" i="9" s="1"/>
  <c r="F22" i="9" a="1"/>
  <c r="F22" i="9" s="1"/>
  <c r="J22" i="9" a="1"/>
  <c r="J22" i="9" s="1"/>
  <c r="L23" i="9" a="1"/>
  <c r="L23" i="9" s="1"/>
  <c r="F24" i="9" a="1"/>
  <c r="F24" i="9" s="1"/>
  <c r="J24" i="9" a="1"/>
  <c r="J24" i="9" s="1"/>
  <c r="L25" i="9" a="1"/>
  <c r="L25" i="9" s="1"/>
  <c r="F26" i="9" a="1"/>
  <c r="F26" i="9" s="1"/>
  <c r="J26" i="9" a="1"/>
  <c r="J26" i="9" s="1"/>
  <c r="L27" i="9" a="1"/>
  <c r="L27" i="9" s="1"/>
  <c r="F28" i="9" a="1"/>
  <c r="F28" i="9" s="1"/>
  <c r="J28" i="9" a="1"/>
  <c r="J28" i="9" s="1"/>
  <c r="L29" i="9" a="1"/>
  <c r="L29" i="9" s="1"/>
  <c r="F30" i="9" a="1"/>
  <c r="F30" i="9" s="1"/>
  <c r="J30" i="9" a="1"/>
  <c r="J30" i="9" s="1"/>
  <c r="L31" i="9" a="1"/>
  <c r="L31" i="9" s="1"/>
  <c r="F32" i="9" a="1"/>
  <c r="F32" i="9" s="1"/>
  <c r="J32" i="9" a="1"/>
  <c r="J32" i="9" s="1"/>
  <c r="L33" i="9" a="1"/>
  <c r="L33" i="9" s="1"/>
  <c r="L3" i="9"/>
  <c r="M3" i="9"/>
  <c r="G4" i="9" a="1"/>
  <c r="G4" i="9" s="1"/>
  <c r="K4" i="9" a="1"/>
  <c r="K4" i="9" s="1"/>
  <c r="M5" i="9" a="1"/>
  <c r="M5" i="9" s="1"/>
  <c r="G6" i="9" a="1"/>
  <c r="G6" i="9" s="1"/>
  <c r="K6" i="9" a="1"/>
  <c r="K6" i="9" s="1"/>
  <c r="M7" i="9" a="1"/>
  <c r="M7" i="9" s="1"/>
  <c r="G8" i="9" a="1"/>
  <c r="G8" i="9" s="1"/>
  <c r="K8" i="9" a="1"/>
  <c r="K8" i="9" s="1"/>
  <c r="M9" i="9" a="1"/>
  <c r="M9" i="9" s="1"/>
  <c r="G10" i="9" a="1"/>
  <c r="G10" i="9" s="1"/>
  <c r="K10" i="9" a="1"/>
  <c r="K10" i="9" s="1"/>
  <c r="M11" i="9" a="1"/>
  <c r="M11" i="9" s="1"/>
  <c r="G12" i="9" a="1"/>
  <c r="G12" i="9" s="1"/>
  <c r="K12" i="9" a="1"/>
  <c r="K12" i="9" s="1"/>
  <c r="M13" i="9" a="1"/>
  <c r="M13" i="9" s="1"/>
  <c r="G14" i="9" a="1"/>
  <c r="G14" i="9" s="1"/>
  <c r="K14" i="9" a="1"/>
  <c r="K14" i="9" s="1"/>
  <c r="M15" i="9" a="1"/>
  <c r="M15" i="9" s="1"/>
  <c r="G16" i="9" a="1"/>
  <c r="G16" i="9" s="1"/>
  <c r="K16" i="9" a="1"/>
  <c r="K16" i="9" s="1"/>
  <c r="M17" i="9" a="1"/>
  <c r="M17" i="9" s="1"/>
  <c r="G18" i="9" a="1"/>
  <c r="G18" i="9" s="1"/>
  <c r="K18" i="9" a="1"/>
  <c r="K18" i="9" s="1"/>
  <c r="M19" i="9" a="1"/>
  <c r="M19" i="9" s="1"/>
  <c r="G20" i="9" a="1"/>
  <c r="G20" i="9" s="1"/>
  <c r="K20" i="9" a="1"/>
  <c r="K20" i="9" s="1"/>
  <c r="M21" i="9" a="1"/>
  <c r="M21" i="9" s="1"/>
  <c r="G22" i="9" a="1"/>
  <c r="G22" i="9" s="1"/>
  <c r="K22" i="9" a="1"/>
  <c r="K22" i="9" s="1"/>
  <c r="M23" i="9" a="1"/>
  <c r="M23" i="9" s="1"/>
  <c r="G24" i="9" a="1"/>
  <c r="G24" i="9" s="1"/>
  <c r="K24" i="9" a="1"/>
  <c r="K24" i="9" s="1"/>
  <c r="M25" i="9" a="1"/>
  <c r="M25" i="9" s="1"/>
  <c r="G26" i="9" a="1"/>
  <c r="G26" i="9" s="1"/>
  <c r="K26" i="9" a="1"/>
  <c r="K26" i="9" s="1"/>
  <c r="M27" i="9" a="1"/>
  <c r="M27" i="9" s="1"/>
  <c r="G28" i="9" a="1"/>
  <c r="G28" i="9" s="1"/>
  <c r="K28" i="9" a="1"/>
  <c r="K28" i="9" s="1"/>
  <c r="M29" i="9" a="1"/>
  <c r="M29" i="9" s="1"/>
  <c r="G30" i="9" a="1"/>
  <c r="G30" i="9" s="1"/>
  <c r="K30" i="9" a="1"/>
  <c r="K30" i="9" s="1"/>
  <c r="M31" i="9" a="1"/>
  <c r="M31" i="9" s="1"/>
  <c r="AB44" i="7" l="1"/>
  <c r="AC44" i="7" s="1"/>
  <c r="AE44" i="7"/>
  <c r="AI44" i="7" s="1"/>
  <c r="AB27" i="7"/>
  <c r="AC27" i="7" s="1"/>
  <c r="AE53" i="7"/>
  <c r="AI53" i="7" s="1"/>
  <c r="AB53" i="7"/>
  <c r="AC53" i="7" s="1"/>
  <c r="AB20" i="7"/>
  <c r="AC20" i="7" s="1"/>
  <c r="AX58" i="7"/>
  <c r="AB23" i="7"/>
  <c r="AC23" i="7" s="1"/>
  <c r="AB34" i="7"/>
  <c r="AC34" i="7" s="1"/>
  <c r="AE51" i="7"/>
  <c r="AI51" i="7" s="1"/>
  <c r="AB51" i="7"/>
  <c r="AC51" i="7" s="1"/>
  <c r="AJ51" i="7" s="1"/>
  <c r="AE43" i="7"/>
  <c r="AI43" i="7" s="1"/>
  <c r="AB43" i="7"/>
  <c r="AC43" i="7" s="1"/>
  <c r="BU42" i="6"/>
  <c r="AB32" i="6"/>
  <c r="AC32" i="6" s="1"/>
  <c r="AB51" i="5"/>
  <c r="AC51" i="5" s="1"/>
  <c r="AE51" i="5"/>
  <c r="AI51" i="5" s="1"/>
  <c r="F52" i="7"/>
  <c r="F52" i="6"/>
  <c r="AE40" i="7"/>
  <c r="AI40" i="7" s="1"/>
  <c r="AB40" i="7"/>
  <c r="AC40" i="7" s="1"/>
  <c r="AJ40" i="7" s="1"/>
  <c r="AB33" i="6"/>
  <c r="AC33" i="6" s="1"/>
  <c r="AB46" i="6"/>
  <c r="AC46" i="6" s="1"/>
  <c r="AE46" i="6"/>
  <c r="AI46" i="6" s="1"/>
  <c r="AJ44" i="6"/>
  <c r="P94" i="5"/>
  <c r="AR58" i="3"/>
  <c r="AS17" i="3"/>
  <c r="AJ31" i="4"/>
  <c r="AJ44" i="3"/>
  <c r="AR35" i="7"/>
  <c r="AS35" i="7" s="1"/>
  <c r="AB26" i="7"/>
  <c r="AC26" i="7" s="1"/>
  <c r="AE18" i="7"/>
  <c r="AI18" i="7" s="1"/>
  <c r="AB18" i="7"/>
  <c r="AC18" i="7" s="1"/>
  <c r="AB38" i="7"/>
  <c r="AC38" i="7" s="1"/>
  <c r="AR33" i="7"/>
  <c r="AS33" i="7" s="1"/>
  <c r="AR29" i="7"/>
  <c r="AS29" i="7" s="1"/>
  <c r="AB27" i="6"/>
  <c r="AC27" i="6" s="1"/>
  <c r="AE50" i="6"/>
  <c r="AI50" i="6" s="1"/>
  <c r="AB50" i="6"/>
  <c r="AC50" i="6" s="1"/>
  <c r="BU47" i="6"/>
  <c r="AB36" i="6"/>
  <c r="AC36" i="6" s="1"/>
  <c r="BT18" i="4"/>
  <c r="P53" i="4"/>
  <c r="P54" i="4" s="1"/>
  <c r="BT17" i="4"/>
  <c r="AF58" i="3"/>
  <c r="AB45" i="3"/>
  <c r="AC45" i="3" s="1"/>
  <c r="AJ45" i="3" s="1"/>
  <c r="AE45" i="3"/>
  <c r="AI45" i="3" s="1"/>
  <c r="AJ53" i="4"/>
  <c r="AB45" i="7"/>
  <c r="AC45" i="7" s="1"/>
  <c r="AE45" i="7"/>
  <c r="AI45" i="7" s="1"/>
  <c r="AB38" i="6"/>
  <c r="AC38" i="6" s="1"/>
  <c r="AB31" i="6"/>
  <c r="AC31" i="6" s="1"/>
  <c r="AB28" i="7"/>
  <c r="AC28" i="7" s="1"/>
  <c r="BR58" i="7"/>
  <c r="BU17" i="7"/>
  <c r="BU44" i="7"/>
  <c r="AE55" i="6"/>
  <c r="AI55" i="6" s="1"/>
  <c r="AB55" i="6"/>
  <c r="AC55" i="6" s="1"/>
  <c r="AJ55" i="6" s="1"/>
  <c r="BR58" i="4"/>
  <c r="BU17" i="4"/>
  <c r="AE53" i="5"/>
  <c r="AI53" i="5" s="1"/>
  <c r="AB53" i="5"/>
  <c r="AC53" i="5" s="1"/>
  <c r="AJ41" i="3"/>
  <c r="AB49" i="6"/>
  <c r="AC49" i="6" s="1"/>
  <c r="AJ49" i="6" s="1"/>
  <c r="AE49" i="6"/>
  <c r="AI49" i="6" s="1"/>
  <c r="AE17" i="7"/>
  <c r="AB17" i="7"/>
  <c r="AB25" i="7"/>
  <c r="AC25" i="7" s="1"/>
  <c r="AB21" i="7"/>
  <c r="AC21" i="7" s="1"/>
  <c r="AR28" i="7"/>
  <c r="AS28" i="7" s="1"/>
  <c r="AE41" i="7"/>
  <c r="AI41" i="7" s="1"/>
  <c r="AB41" i="7"/>
  <c r="AC41" i="7" s="1"/>
  <c r="AJ41" i="7" s="1"/>
  <c r="AB55" i="7"/>
  <c r="AC55" i="7" s="1"/>
  <c r="AE55" i="7"/>
  <c r="AI55" i="7" s="1"/>
  <c r="AE18" i="6"/>
  <c r="AI18" i="6" s="1"/>
  <c r="AB18" i="6"/>
  <c r="AC18" i="6" s="1"/>
  <c r="AJ18" i="6" s="1"/>
  <c r="AB48" i="6"/>
  <c r="AC48" i="6" s="1"/>
  <c r="AJ48" i="6" s="1"/>
  <c r="AE48" i="6"/>
  <c r="AI48" i="6" s="1"/>
  <c r="AY36" i="6"/>
  <c r="BL36" i="6" s="1"/>
  <c r="AY37" i="6"/>
  <c r="BL37" i="6" s="1"/>
  <c r="AY23" i="6"/>
  <c r="BL23" i="6" s="1"/>
  <c r="AY20" i="6"/>
  <c r="AY34" i="6"/>
  <c r="BL34" i="6" s="1"/>
  <c r="AY25" i="6"/>
  <c r="BL25" i="6" s="1"/>
  <c r="AY33" i="6"/>
  <c r="BL33" i="6" s="1"/>
  <c r="AY39" i="6"/>
  <c r="BL39" i="6" s="1"/>
  <c r="AY38" i="6"/>
  <c r="BL38" i="6" s="1"/>
  <c r="AY29" i="6"/>
  <c r="BL29" i="6" s="1"/>
  <c r="AY35" i="6"/>
  <c r="BL35" i="6" s="1"/>
  <c r="AY27" i="6"/>
  <c r="BL27" i="6" s="1"/>
  <c r="AY24" i="6"/>
  <c r="BL24" i="6" s="1"/>
  <c r="AY32" i="6"/>
  <c r="BL32" i="6" s="1"/>
  <c r="AY31" i="6"/>
  <c r="BL31" i="6" s="1"/>
  <c r="AY26" i="6"/>
  <c r="BL26" i="6" s="1"/>
  <c r="AY28" i="6"/>
  <c r="BL28" i="6" s="1"/>
  <c r="AY22" i="6"/>
  <c r="BL22" i="6" s="1"/>
  <c r="AY21" i="6"/>
  <c r="BL21" i="6" s="1"/>
  <c r="AY30" i="6"/>
  <c r="BL30" i="6" s="1"/>
  <c r="AX58" i="3"/>
  <c r="AB37" i="5"/>
  <c r="AC37" i="5" s="1"/>
  <c r="AB56" i="6"/>
  <c r="AC56" i="6" s="1"/>
  <c r="AE56" i="6"/>
  <c r="AI56" i="6" s="1"/>
  <c r="AB29" i="7"/>
  <c r="AC29" i="7" s="1"/>
  <c r="AB32" i="7"/>
  <c r="AC32" i="7" s="1"/>
  <c r="AB39" i="7"/>
  <c r="AC39" i="7" s="1"/>
  <c r="AB31" i="7"/>
  <c r="AC31" i="7" s="1"/>
  <c r="AB52" i="7"/>
  <c r="AC52" i="7" s="1"/>
  <c r="AE52" i="7"/>
  <c r="AI52" i="7" s="1"/>
  <c r="AB48" i="7"/>
  <c r="AC48" i="7" s="1"/>
  <c r="AJ48" i="7" s="1"/>
  <c r="AE48" i="7"/>
  <c r="AI48" i="7" s="1"/>
  <c r="AE56" i="7"/>
  <c r="AI56" i="7" s="1"/>
  <c r="AB56" i="7"/>
  <c r="AC56" i="7" s="1"/>
  <c r="AJ56" i="7" s="1"/>
  <c r="AB30" i="6"/>
  <c r="AC30" i="6" s="1"/>
  <c r="AB39" i="6"/>
  <c r="AC39" i="6" s="1"/>
  <c r="AE53" i="6"/>
  <c r="AI53" i="6" s="1"/>
  <c r="AB53" i="6"/>
  <c r="AC53" i="6" s="1"/>
  <c r="AE54" i="6"/>
  <c r="AI54" i="6" s="1"/>
  <c r="AB54" i="6"/>
  <c r="AC54" i="6" s="1"/>
  <c r="AJ54" i="6" s="1"/>
  <c r="AR17" i="7"/>
  <c r="AR18" i="7"/>
  <c r="AS18" i="7" s="1"/>
  <c r="AR26" i="7"/>
  <c r="AS26" i="7" s="1"/>
  <c r="AB19" i="7"/>
  <c r="AE19" i="7"/>
  <c r="AI19" i="7" s="1"/>
  <c r="AR38" i="7"/>
  <c r="AS38" i="7" s="1"/>
  <c r="AR30" i="7"/>
  <c r="AS30" i="7" s="1"/>
  <c r="AB42" i="7"/>
  <c r="AC42" i="7" s="1"/>
  <c r="AE42" i="7"/>
  <c r="AI42" i="7" s="1"/>
  <c r="AB35" i="7"/>
  <c r="AC35" i="7" s="1"/>
  <c r="BU41" i="7"/>
  <c r="BT58" i="6"/>
  <c r="AB29" i="6"/>
  <c r="AC29" i="6" s="1"/>
  <c r="AE29" i="6"/>
  <c r="AI29" i="6" s="1"/>
  <c r="AB22" i="7"/>
  <c r="AC22" i="7" s="1"/>
  <c r="AE17" i="4"/>
  <c r="AB17" i="4"/>
  <c r="AE52" i="4"/>
  <c r="AI52" i="4" s="1"/>
  <c r="AB52" i="4"/>
  <c r="AC52" i="4" s="1"/>
  <c r="AJ52" i="4" s="1"/>
  <c r="AB37" i="7"/>
  <c r="AC37" i="7" s="1"/>
  <c r="P53" i="7"/>
  <c r="P54" i="7" s="1"/>
  <c r="BT22" i="7" a="1"/>
  <c r="BT22" i="7" s="1"/>
  <c r="BT58" i="7" s="1"/>
  <c r="BT26" i="7" a="1"/>
  <c r="BT26" i="7" s="1"/>
  <c r="BT34" i="7" a="1"/>
  <c r="BT34" i="7" s="1"/>
  <c r="BT30" i="7" a="1"/>
  <c r="BT30" i="7" s="1"/>
  <c r="BT38" i="7" a="1"/>
  <c r="BT38" i="7" s="1"/>
  <c r="BT33" i="7" a="1"/>
  <c r="BT33" i="7" s="1"/>
  <c r="AR30" i="6"/>
  <c r="AS30" i="6" s="1"/>
  <c r="AR21" i="6"/>
  <c r="AS21" i="6" s="1"/>
  <c r="AR33" i="6"/>
  <c r="AS33" i="6" s="1"/>
  <c r="AR31" i="6"/>
  <c r="AS31" i="6" s="1"/>
  <c r="AR29" i="6"/>
  <c r="AS29" i="6" s="1"/>
  <c r="AR22" i="6"/>
  <c r="AS22" i="6" s="1"/>
  <c r="AR17" i="6"/>
  <c r="AR20" i="6"/>
  <c r="AS20" i="6" s="1"/>
  <c r="AR37" i="6"/>
  <c r="AS37" i="6" s="1"/>
  <c r="BU18" i="7"/>
  <c r="AB49" i="7"/>
  <c r="AC49" i="7" s="1"/>
  <c r="AE49" i="7"/>
  <c r="AI49" i="7" s="1"/>
  <c r="AR27" i="7"/>
  <c r="AS27" i="7" s="1"/>
  <c r="AR31" i="7"/>
  <c r="AS31" i="7" s="1"/>
  <c r="AE33" i="7"/>
  <c r="AI33" i="7" s="1"/>
  <c r="AB33" i="7"/>
  <c r="AC33" i="7" s="1"/>
  <c r="AB47" i="7"/>
  <c r="AC47" i="7" s="1"/>
  <c r="AJ47" i="7" s="1"/>
  <c r="AE47" i="7"/>
  <c r="AI47" i="7" s="1"/>
  <c r="AE54" i="7"/>
  <c r="AI54" i="7" s="1"/>
  <c r="AB54" i="7"/>
  <c r="AC54" i="7" s="1"/>
  <c r="AJ54" i="7" s="1"/>
  <c r="AB50" i="7"/>
  <c r="AC50" i="7" s="1"/>
  <c r="AJ50" i="7" s="1"/>
  <c r="AE50" i="7"/>
  <c r="AI50" i="7" s="1"/>
  <c r="AE24" i="6"/>
  <c r="AI24" i="6" s="1"/>
  <c r="AB24" i="6"/>
  <c r="AC24" i="6" s="1"/>
  <c r="AE22" i="6"/>
  <c r="AI22" i="6" s="1"/>
  <c r="AB22" i="6"/>
  <c r="AC22" i="6" s="1"/>
  <c r="AJ22" i="6" s="1"/>
  <c r="AE47" i="6"/>
  <c r="AI47" i="6" s="1"/>
  <c r="AB47" i="6"/>
  <c r="AC47" i="6" s="1"/>
  <c r="AJ47" i="6" s="1"/>
  <c r="AE52" i="6"/>
  <c r="AI52" i="6" s="1"/>
  <c r="AB52" i="6"/>
  <c r="AC52" i="6" s="1"/>
  <c r="AJ52" i="6" s="1"/>
  <c r="AE42" i="6"/>
  <c r="AI42" i="6" s="1"/>
  <c r="AB42" i="6"/>
  <c r="AC42" i="6" s="1"/>
  <c r="AJ42" i="6" s="1"/>
  <c r="AR32" i="6"/>
  <c r="AS32" i="6" s="1"/>
  <c r="AB51" i="6"/>
  <c r="AC51" i="6" s="1"/>
  <c r="AE51" i="6"/>
  <c r="AI51" i="6" s="1"/>
  <c r="O60" i="6"/>
  <c r="O30" i="6"/>
  <c r="AI17" i="6"/>
  <c r="BU51" i="3"/>
  <c r="AJ35" i="3"/>
  <c r="AE19" i="5"/>
  <c r="AB19" i="5"/>
  <c r="AX58" i="4"/>
  <c r="BU52" i="4"/>
  <c r="AB35" i="4"/>
  <c r="AC35" i="4" s="1"/>
  <c r="AJ35" i="4" s="1"/>
  <c r="AE35" i="4"/>
  <c r="AI35" i="4" s="1"/>
  <c r="AE54" i="4"/>
  <c r="AI54" i="4" s="1"/>
  <c r="AB54" i="4"/>
  <c r="AC54" i="4" s="1"/>
  <c r="AJ54" i="4" s="1"/>
  <c r="AE43" i="3"/>
  <c r="AI43" i="3" s="1"/>
  <c r="AB43" i="3"/>
  <c r="AC43" i="3" s="1"/>
  <c r="AJ43" i="3" s="1"/>
  <c r="AE17" i="5"/>
  <c r="AB17" i="5"/>
  <c r="AB50" i="5"/>
  <c r="AC50" i="5" s="1"/>
  <c r="AE50" i="5"/>
  <c r="AI50" i="5" s="1"/>
  <c r="AB38" i="5"/>
  <c r="AC38" i="5" s="1"/>
  <c r="AJ33" i="4"/>
  <c r="O60" i="4"/>
  <c r="O30" i="4"/>
  <c r="AJ32" i="3"/>
  <c r="AI33" i="4"/>
  <c r="AI55" i="5"/>
  <c r="AJ55" i="5" s="1"/>
  <c r="O41" i="6"/>
  <c r="AE27" i="6" s="1"/>
  <c r="AI27" i="6" s="1"/>
  <c r="P41" i="6"/>
  <c r="O32" i="3"/>
  <c r="AD19" i="3"/>
  <c r="O31" i="3"/>
  <c r="AE23" i="4"/>
  <c r="AI23" i="4" s="1"/>
  <c r="AB23" i="4"/>
  <c r="AC23" i="4" s="1"/>
  <c r="BU54" i="4"/>
  <c r="AB50" i="3"/>
  <c r="AC50" i="3" s="1"/>
  <c r="AJ50" i="3" s="1"/>
  <c r="AE50" i="3"/>
  <c r="AI50" i="3" s="1"/>
  <c r="AE49" i="3"/>
  <c r="AI49" i="3" s="1"/>
  <c r="AB49" i="3"/>
  <c r="AC49" i="3" s="1"/>
  <c r="AJ49" i="3" s="1"/>
  <c r="AB52" i="3"/>
  <c r="AC52" i="3" s="1"/>
  <c r="AE52" i="3"/>
  <c r="AI52" i="3" s="1"/>
  <c r="AB23" i="5"/>
  <c r="AC23" i="5" s="1"/>
  <c r="AE52" i="5"/>
  <c r="AI52" i="5" s="1"/>
  <c r="AB52" i="5"/>
  <c r="AC52" i="5" s="1"/>
  <c r="AB29" i="5"/>
  <c r="AC29" i="5" s="1"/>
  <c r="AE49" i="5"/>
  <c r="AI49" i="5" s="1"/>
  <c r="AB49" i="5"/>
  <c r="AC49" i="5" s="1"/>
  <c r="AJ49" i="5" s="1"/>
  <c r="AJ28" i="4"/>
  <c r="P60" i="4"/>
  <c r="P61" i="4" s="1"/>
  <c r="AO19" i="4" s="1"/>
  <c r="P30" i="4"/>
  <c r="P31" i="4"/>
  <c r="O41" i="7"/>
  <c r="AE27" i="7" s="1"/>
  <c r="AI27" i="7" s="1"/>
  <c r="P41" i="7"/>
  <c r="AE29" i="3"/>
  <c r="AI29" i="3" s="1"/>
  <c r="AB29" i="3"/>
  <c r="AC29" i="3" s="1"/>
  <c r="BU46" i="4"/>
  <c r="AR58" i="4"/>
  <c r="AS17" i="4"/>
  <c r="AB46" i="4"/>
  <c r="AC46" i="4" s="1"/>
  <c r="AJ46" i="4" s="1"/>
  <c r="AE46" i="4"/>
  <c r="AI46" i="4" s="1"/>
  <c r="AB31" i="3"/>
  <c r="AC31" i="3" s="1"/>
  <c r="AE31" i="3"/>
  <c r="AI31" i="3" s="1"/>
  <c r="AE40" i="3"/>
  <c r="AI40" i="3" s="1"/>
  <c r="AB40" i="3"/>
  <c r="AC40" i="3" s="1"/>
  <c r="AB32" i="5"/>
  <c r="AC32" i="5" s="1"/>
  <c r="AB24" i="5"/>
  <c r="AC24" i="5" s="1"/>
  <c r="AB43" i="5"/>
  <c r="AC43" i="5" s="1"/>
  <c r="AE43" i="5"/>
  <c r="AI43" i="5" s="1"/>
  <c r="AE42" i="5"/>
  <c r="AI42" i="5" s="1"/>
  <c r="AB42" i="5"/>
  <c r="AC42" i="5" s="1"/>
  <c r="AJ42" i="5" s="1"/>
  <c r="AE41" i="5"/>
  <c r="AI41" i="5" s="1"/>
  <c r="AB41" i="5"/>
  <c r="AC41" i="5" s="1"/>
  <c r="AJ38" i="3"/>
  <c r="AJ45" i="4"/>
  <c r="P53" i="3"/>
  <c r="P54" i="3" s="1"/>
  <c r="BT17" i="3"/>
  <c r="BT18" i="3"/>
  <c r="BU18" i="3" s="1"/>
  <c r="BU20" i="3"/>
  <c r="AE26" i="4"/>
  <c r="AI26" i="4" s="1"/>
  <c r="AB26" i="4"/>
  <c r="AC26" i="4" s="1"/>
  <c r="AJ26" i="4" s="1"/>
  <c r="AE42" i="4"/>
  <c r="AI42" i="4" s="1"/>
  <c r="AB42" i="4"/>
  <c r="AC42" i="4" s="1"/>
  <c r="AB43" i="4"/>
  <c r="AC43" i="4" s="1"/>
  <c r="AE43" i="4"/>
  <c r="AI43" i="4" s="1"/>
  <c r="BU55" i="3"/>
  <c r="AB47" i="3"/>
  <c r="AC47" i="3" s="1"/>
  <c r="AE47" i="3"/>
  <c r="AI47" i="3" s="1"/>
  <c r="AE23" i="3"/>
  <c r="AI23" i="3" s="1"/>
  <c r="AB23" i="3"/>
  <c r="AC23" i="3" s="1"/>
  <c r="AJ23" i="3" s="1"/>
  <c r="AE21" i="3"/>
  <c r="AI21" i="3" s="1"/>
  <c r="AB21" i="3"/>
  <c r="AC21" i="3" s="1"/>
  <c r="AJ21" i="3" s="1"/>
  <c r="AF58" i="5"/>
  <c r="AJ36" i="4"/>
  <c r="AR58" i="5"/>
  <c r="AS17" i="5"/>
  <c r="AB33" i="5"/>
  <c r="AC33" i="5" s="1"/>
  <c r="AB39" i="5"/>
  <c r="AC39" i="5" s="1"/>
  <c r="AB25" i="5"/>
  <c r="AC25" i="5" s="1"/>
  <c r="AB30" i="5"/>
  <c r="AC30" i="5" s="1"/>
  <c r="AB56" i="5"/>
  <c r="AC56" i="5" s="1"/>
  <c r="AE56" i="5"/>
  <c r="AI56" i="5" s="1"/>
  <c r="AI51" i="4"/>
  <c r="AJ51" i="4" s="1"/>
  <c r="AJ18" i="4"/>
  <c r="AJ20" i="3"/>
  <c r="H33" i="2"/>
  <c r="F52" i="5" s="1"/>
  <c r="P60" i="6"/>
  <c r="P61" i="6" s="1"/>
  <c r="AO19" i="6" s="1"/>
  <c r="P30" i="6"/>
  <c r="P31" i="6"/>
  <c r="AJ33" i="3"/>
  <c r="AB24" i="7"/>
  <c r="AC24" i="7" s="1"/>
  <c r="AB36" i="7"/>
  <c r="AC36" i="7" s="1"/>
  <c r="AE36" i="7"/>
  <c r="AI36" i="7" s="1"/>
  <c r="AF58" i="7"/>
  <c r="AB30" i="7"/>
  <c r="AC30" i="7" s="1"/>
  <c r="AE46" i="7"/>
  <c r="AI46" i="7" s="1"/>
  <c r="AB46" i="7"/>
  <c r="AC46" i="7" s="1"/>
  <c r="BU53" i="7"/>
  <c r="AE35" i="6"/>
  <c r="AI35" i="6" s="1"/>
  <c r="AB35" i="6"/>
  <c r="AC35" i="6" s="1"/>
  <c r="AJ35" i="6" s="1"/>
  <c r="AB45" i="6"/>
  <c r="AC45" i="6" s="1"/>
  <c r="AJ45" i="6" s="1"/>
  <c r="AE45" i="6"/>
  <c r="AI45" i="6" s="1"/>
  <c r="AB40" i="6"/>
  <c r="AC40" i="6" s="1"/>
  <c r="AJ40" i="6" s="1"/>
  <c r="AE40" i="6"/>
  <c r="AI40" i="6" s="1"/>
  <c r="AE23" i="6"/>
  <c r="AI23" i="6" s="1"/>
  <c r="AB23" i="6"/>
  <c r="AC23" i="6" s="1"/>
  <c r="AJ23" i="6" s="1"/>
  <c r="AE34" i="4"/>
  <c r="AI34" i="4" s="1"/>
  <c r="AB34" i="4"/>
  <c r="AC34" i="4" s="1"/>
  <c r="AE37" i="3"/>
  <c r="AI37" i="3" s="1"/>
  <c r="AB37" i="3"/>
  <c r="AC37" i="3" s="1"/>
  <c r="AJ37" i="3" s="1"/>
  <c r="BU32" i="4"/>
  <c r="BU39" i="4"/>
  <c r="BU18" i="4"/>
  <c r="AB49" i="4"/>
  <c r="AC49" i="4" s="1"/>
  <c r="AE49" i="4"/>
  <c r="AI49" i="4" s="1"/>
  <c r="AE54" i="3"/>
  <c r="AI54" i="3" s="1"/>
  <c r="AB54" i="3"/>
  <c r="AC54" i="3" s="1"/>
  <c r="AJ51" i="3"/>
  <c r="AB54" i="5"/>
  <c r="AC54" i="5" s="1"/>
  <c r="AE54" i="5"/>
  <c r="AI54" i="5" s="1"/>
  <c r="AB20" i="5"/>
  <c r="AC20" i="5" s="1"/>
  <c r="AB44" i="5"/>
  <c r="AC44" i="5" s="1"/>
  <c r="AJ44" i="5" s="1"/>
  <c r="AE44" i="5"/>
  <c r="AI44" i="5" s="1"/>
  <c r="AB26" i="5"/>
  <c r="AC26" i="5" s="1"/>
  <c r="J34" i="2"/>
  <c r="P60" i="7"/>
  <c r="P61" i="7" s="1"/>
  <c r="AO19" i="7" s="1"/>
  <c r="P31" i="7"/>
  <c r="P30" i="7"/>
  <c r="AJ56" i="4"/>
  <c r="AE27" i="4"/>
  <c r="AI27" i="4" s="1"/>
  <c r="AB27" i="4"/>
  <c r="AC27" i="4" s="1"/>
  <c r="AJ27" i="4" s="1"/>
  <c r="AB41" i="4"/>
  <c r="AC41" i="4" s="1"/>
  <c r="AJ41" i="4" s="1"/>
  <c r="AE41" i="4"/>
  <c r="AI41" i="4" s="1"/>
  <c r="AE50" i="4"/>
  <c r="AI50" i="4" s="1"/>
  <c r="AB50" i="4"/>
  <c r="AC50" i="4" s="1"/>
  <c r="AJ50" i="4" s="1"/>
  <c r="AB24" i="4"/>
  <c r="AC24" i="4" s="1"/>
  <c r="AE24" i="4"/>
  <c r="AI24" i="4" s="1"/>
  <c r="AE47" i="4"/>
  <c r="AI47" i="4" s="1"/>
  <c r="AB47" i="4"/>
  <c r="AC47" i="4" s="1"/>
  <c r="AJ47" i="4" s="1"/>
  <c r="BU56" i="4"/>
  <c r="AE19" i="4"/>
  <c r="AB19" i="4"/>
  <c r="AB39" i="4"/>
  <c r="AC39" i="4" s="1"/>
  <c r="AJ39" i="4" s="1"/>
  <c r="AE39" i="4"/>
  <c r="AI39" i="4" s="1"/>
  <c r="AB22" i="3"/>
  <c r="AC22" i="3" s="1"/>
  <c r="AJ22" i="3" s="1"/>
  <c r="AE22" i="3"/>
  <c r="AI22" i="3" s="1"/>
  <c r="AE46" i="3"/>
  <c r="AI46" i="3" s="1"/>
  <c r="AB46" i="3"/>
  <c r="AC46" i="3" s="1"/>
  <c r="AB55" i="3"/>
  <c r="AC55" i="3" s="1"/>
  <c r="AE55" i="3"/>
  <c r="AI55" i="3" s="1"/>
  <c r="AI56" i="3"/>
  <c r="AJ56" i="3" s="1"/>
  <c r="BR58" i="3"/>
  <c r="AE18" i="5"/>
  <c r="AI18" i="5" s="1"/>
  <c r="AB18" i="5"/>
  <c r="AC18" i="5" s="1"/>
  <c r="AJ18" i="5" s="1"/>
  <c r="AB22" i="5"/>
  <c r="AC22" i="5" s="1"/>
  <c r="AB46" i="5"/>
  <c r="AC46" i="5" s="1"/>
  <c r="AE46" i="5"/>
  <c r="AI46" i="5" s="1"/>
  <c r="AE21" i="5"/>
  <c r="AI21" i="5" s="1"/>
  <c r="AB21" i="5"/>
  <c r="AC21" i="5" s="1"/>
  <c r="AB34" i="5"/>
  <c r="AC34" i="5" s="1"/>
  <c r="AB31" i="5"/>
  <c r="AC31" i="5" s="1"/>
  <c r="AB28" i="5"/>
  <c r="AC28" i="5" s="1"/>
  <c r="BU47" i="5"/>
  <c r="BU44" i="5"/>
  <c r="AJ25" i="3"/>
  <c r="AJ30" i="4"/>
  <c r="O63" i="7"/>
  <c r="Z19" i="7" s="1"/>
  <c r="Z58" i="7" s="1"/>
  <c r="E59" i="7"/>
  <c r="AA19" i="7"/>
  <c r="AG17" i="7"/>
  <c r="AG18" i="7"/>
  <c r="O64" i="7"/>
  <c r="AI17" i="3"/>
  <c r="AJ17" i="3" s="1"/>
  <c r="AJ20" i="4"/>
  <c r="AF58" i="4"/>
  <c r="AB32" i="4"/>
  <c r="AC32" i="4" s="1"/>
  <c r="AJ32" i="4" s="1"/>
  <c r="AE32" i="4"/>
  <c r="AI32" i="4" s="1"/>
  <c r="AE48" i="4"/>
  <c r="AI48" i="4" s="1"/>
  <c r="AB48" i="4"/>
  <c r="AC48" i="4" s="1"/>
  <c r="AJ48" i="4" s="1"/>
  <c r="AE55" i="4"/>
  <c r="AI55" i="4" s="1"/>
  <c r="AB55" i="4"/>
  <c r="AC55" i="4" s="1"/>
  <c r="AJ55" i="4" s="1"/>
  <c r="AB19" i="3"/>
  <c r="AE19" i="3"/>
  <c r="AE58" i="3" s="1"/>
  <c r="AB36" i="3"/>
  <c r="AC36" i="3" s="1"/>
  <c r="AJ36" i="3" s="1"/>
  <c r="AE36" i="3"/>
  <c r="AI36" i="3" s="1"/>
  <c r="AE24" i="3"/>
  <c r="AI24" i="3" s="1"/>
  <c r="AB24" i="3"/>
  <c r="AC24" i="3" s="1"/>
  <c r="AJ24" i="3" s="1"/>
  <c r="AJ37" i="4"/>
  <c r="AB47" i="5"/>
  <c r="AC47" i="5" s="1"/>
  <c r="AE47" i="5"/>
  <c r="AI47" i="5" s="1"/>
  <c r="BR58" i="5"/>
  <c r="AB27" i="5"/>
  <c r="AC27" i="5" s="1"/>
  <c r="AX58" i="5"/>
  <c r="AE40" i="5"/>
  <c r="AI40" i="5" s="1"/>
  <c r="AB40" i="5"/>
  <c r="AC40" i="5" s="1"/>
  <c r="AJ40" i="5" s="1"/>
  <c r="AE48" i="5"/>
  <c r="AI48" i="5" s="1"/>
  <c r="AB48" i="5"/>
  <c r="AC48" i="5" s="1"/>
  <c r="AJ48" i="5" s="1"/>
  <c r="AE45" i="5"/>
  <c r="AI45" i="5" s="1"/>
  <c r="AB45" i="5"/>
  <c r="AC45" i="5" s="1"/>
  <c r="O60" i="5"/>
  <c r="O30" i="5"/>
  <c r="P41" i="5"/>
  <c r="O41" i="5"/>
  <c r="AE25" i="5" s="1"/>
  <c r="AI25" i="5" s="1"/>
  <c r="F51" i="5"/>
  <c r="P29" i="5" s="1"/>
  <c r="F51" i="3"/>
  <c r="P29" i="3" s="1"/>
  <c r="O61" i="3"/>
  <c r="D4" i="9" l="1" a="1"/>
  <c r="D4" i="9" s="1"/>
  <c r="P31" i="5"/>
  <c r="P60" i="5"/>
  <c r="P61" i="5" s="1"/>
  <c r="AO19" i="5" s="1"/>
  <c r="P30" i="5"/>
  <c r="AE39" i="7"/>
  <c r="AI39" i="7" s="1"/>
  <c r="AE20" i="7"/>
  <c r="AI20" i="7" s="1"/>
  <c r="AJ25" i="5"/>
  <c r="D10" i="9" a="1"/>
  <c r="D10" i="9" s="1"/>
  <c r="P62" i="7"/>
  <c r="AT19" i="7"/>
  <c r="P32" i="7"/>
  <c r="BO19" i="7" s="1"/>
  <c r="AJ54" i="5"/>
  <c r="D20" i="9" a="1"/>
  <c r="D20" i="9" s="1"/>
  <c r="AJ42" i="4"/>
  <c r="AJ43" i="5"/>
  <c r="AJ40" i="3"/>
  <c r="AJ51" i="6"/>
  <c r="AE37" i="7"/>
  <c r="AI37" i="7" s="1"/>
  <c r="AJ29" i="6"/>
  <c r="AJ39" i="7"/>
  <c r="D28" i="9" a="1"/>
  <c r="D28" i="9" s="1"/>
  <c r="AJ45" i="7"/>
  <c r="AJ20" i="7"/>
  <c r="AJ27" i="7"/>
  <c r="AB58" i="3"/>
  <c r="O44" i="5"/>
  <c r="O43" i="5"/>
  <c r="AE35" i="5"/>
  <c r="AI35" i="5" s="1"/>
  <c r="AJ35" i="5" s="1"/>
  <c r="AE36" i="5"/>
  <c r="AI36" i="5" s="1"/>
  <c r="AJ36" i="5" s="1"/>
  <c r="AE28" i="5"/>
  <c r="AI28" i="5" s="1"/>
  <c r="AJ28" i="5" s="1"/>
  <c r="AM28" i="5" s="1"/>
  <c r="P43" i="5"/>
  <c r="BP38" i="5"/>
  <c r="BP26" i="5"/>
  <c r="BP33" i="5"/>
  <c r="BP34" i="5"/>
  <c r="BP30" i="5"/>
  <c r="BP29" i="5"/>
  <c r="BP37" i="5"/>
  <c r="BP20" i="5"/>
  <c r="BP39" i="5"/>
  <c r="BU39" i="5" s="1"/>
  <c r="BP23" i="5"/>
  <c r="BP32" i="5"/>
  <c r="BP31" i="5"/>
  <c r="BP28" i="5"/>
  <c r="BP36" i="5"/>
  <c r="BP24" i="5"/>
  <c r="BP35" i="5"/>
  <c r="BP25" i="5"/>
  <c r="BP21" i="5"/>
  <c r="BP27" i="5"/>
  <c r="BP22" i="5"/>
  <c r="AG19" i="7"/>
  <c r="AJ46" i="5"/>
  <c r="F68" i="7"/>
  <c r="BX56" i="7"/>
  <c r="BX50" i="7"/>
  <c r="BX48" i="7"/>
  <c r="BQ55" i="7"/>
  <c r="BX53" i="7"/>
  <c r="BQ51" i="7"/>
  <c r="BX45" i="7"/>
  <c r="BX43" i="7"/>
  <c r="BX55" i="7"/>
  <c r="BX54" i="7"/>
  <c r="BX52" i="7"/>
  <c r="BQ54" i="7"/>
  <c r="BQ52" i="7"/>
  <c r="BX47" i="7"/>
  <c r="BX46" i="7"/>
  <c r="BQ45" i="7"/>
  <c r="BX44" i="7"/>
  <c r="BX40" i="7"/>
  <c r="BQ41" i="7"/>
  <c r="BQ39" i="7"/>
  <c r="BX37" i="7"/>
  <c r="BX35" i="7"/>
  <c r="BX33" i="7"/>
  <c r="BQ48" i="7"/>
  <c r="BQ44" i="7"/>
  <c r="BX39" i="7"/>
  <c r="BX31" i="7"/>
  <c r="BQ28" i="7"/>
  <c r="BX51" i="7"/>
  <c r="BQ49" i="7"/>
  <c r="BX38" i="7"/>
  <c r="BX36" i="7"/>
  <c r="BQ50" i="7"/>
  <c r="BX42" i="7"/>
  <c r="BQ37" i="7"/>
  <c r="BX34" i="7"/>
  <c r="BQ27" i="7"/>
  <c r="BQ47" i="7"/>
  <c r="BQ33" i="7"/>
  <c r="BX30" i="7"/>
  <c r="BQ29" i="7"/>
  <c r="BQ25" i="7"/>
  <c r="BX23" i="7"/>
  <c r="BQ46" i="7"/>
  <c r="BX49" i="7"/>
  <c r="BQ43" i="7"/>
  <c r="BQ38" i="7"/>
  <c r="BQ34" i="7"/>
  <c r="BX29" i="7"/>
  <c r="BQ36" i="7"/>
  <c r="BQ32" i="7"/>
  <c r="BX21" i="7"/>
  <c r="BQ18" i="7"/>
  <c r="BX28" i="7"/>
  <c r="BQ26" i="7"/>
  <c r="BQ23" i="7"/>
  <c r="BX18" i="7"/>
  <c r="BQ17" i="7"/>
  <c r="BQ35" i="7"/>
  <c r="BQ31" i="7"/>
  <c r="BX27" i="7"/>
  <c r="BQ24" i="7"/>
  <c r="BX17" i="7"/>
  <c r="BX41" i="7"/>
  <c r="BX32" i="7"/>
  <c r="BQ30" i="7"/>
  <c r="BQ22" i="7"/>
  <c r="BQ20" i="7"/>
  <c r="BQ53" i="7"/>
  <c r="BX25" i="7"/>
  <c r="BX20" i="7"/>
  <c r="BX22" i="7"/>
  <c r="BX19" i="7"/>
  <c r="AU27" i="7"/>
  <c r="AU29" i="7"/>
  <c r="BQ40" i="7"/>
  <c r="AV32" i="7"/>
  <c r="BJ32" i="7" s="1"/>
  <c r="AV31" i="7"/>
  <c r="BJ31" i="7" s="1"/>
  <c r="AV17" i="7"/>
  <c r="AV27" i="7"/>
  <c r="BJ27" i="7" s="1"/>
  <c r="AU18" i="7"/>
  <c r="AV25" i="7"/>
  <c r="BJ25" i="7" s="1"/>
  <c r="AV20" i="7"/>
  <c r="BJ20" i="7" s="1"/>
  <c r="AU25" i="7"/>
  <c r="AU39" i="7"/>
  <c r="BX26" i="7"/>
  <c r="BQ21" i="7"/>
  <c r="BX24" i="7"/>
  <c r="BQ19" i="7"/>
  <c r="BQ42" i="7"/>
  <c r="AV30" i="7"/>
  <c r="BJ30" i="7" s="1"/>
  <c r="AU46" i="7"/>
  <c r="AV45" i="7"/>
  <c r="BJ45" i="7" s="1"/>
  <c r="AU40" i="7"/>
  <c r="AU38" i="7"/>
  <c r="AV29" i="7"/>
  <c r="BJ29" i="7" s="1"/>
  <c r="AV19" i="7"/>
  <c r="BJ19" i="7" s="1"/>
  <c r="AV24" i="7"/>
  <c r="BJ24" i="7" s="1"/>
  <c r="AU20" i="7"/>
  <c r="AV52" i="7"/>
  <c r="BJ52" i="7" s="1"/>
  <c r="AV55" i="7"/>
  <c r="BJ55" i="7" s="1"/>
  <c r="AV47" i="7"/>
  <c r="BJ47" i="7" s="1"/>
  <c r="AU54" i="7"/>
  <c r="AU45" i="7"/>
  <c r="AV21" i="7"/>
  <c r="BJ21" i="7" s="1"/>
  <c r="AV18" i="7"/>
  <c r="BJ18" i="7" s="1"/>
  <c r="AU34" i="7"/>
  <c r="AV44" i="7"/>
  <c r="BJ44" i="7" s="1"/>
  <c r="AU43" i="7"/>
  <c r="AU33" i="7"/>
  <c r="AU41" i="7"/>
  <c r="AU19" i="7"/>
  <c r="BI19" i="7" s="1"/>
  <c r="AV39" i="7"/>
  <c r="BJ39" i="7" s="1"/>
  <c r="AV28" i="7"/>
  <c r="BJ28" i="7" s="1"/>
  <c r="AU55" i="7"/>
  <c r="AU47" i="7"/>
  <c r="AU17" i="7"/>
  <c r="AK43" i="7" s="1"/>
  <c r="AU51" i="7"/>
  <c r="AU53" i="7"/>
  <c r="AV34" i="7"/>
  <c r="BJ34" i="7" s="1"/>
  <c r="AU22" i="7"/>
  <c r="AV56" i="7"/>
  <c r="BJ56" i="7" s="1"/>
  <c r="AV50" i="7"/>
  <c r="BJ50" i="7" s="1"/>
  <c r="AU49" i="7"/>
  <c r="AU28" i="7"/>
  <c r="AV37" i="7"/>
  <c r="BJ37" i="7" s="1"/>
  <c r="AV36" i="7"/>
  <c r="BJ36" i="7" s="1"/>
  <c r="AU24" i="7"/>
  <c r="AU36" i="7"/>
  <c r="AV26" i="7"/>
  <c r="BJ26" i="7" s="1"/>
  <c r="AU42" i="7"/>
  <c r="AV53" i="7"/>
  <c r="BJ53" i="7" s="1"/>
  <c r="AV48" i="7"/>
  <c r="BJ48" i="7" s="1"/>
  <c r="AV35" i="7"/>
  <c r="BJ35" i="7" s="1"/>
  <c r="AU56" i="7"/>
  <c r="AV38" i="7"/>
  <c r="BJ38" i="7" s="1"/>
  <c r="AU48" i="7"/>
  <c r="AV41" i="7"/>
  <c r="BJ41" i="7" s="1"/>
  <c r="AU37" i="7"/>
  <c r="AU35" i="7"/>
  <c r="AV22" i="7"/>
  <c r="BJ22" i="7" s="1"/>
  <c r="AV33" i="7"/>
  <c r="BJ33" i="7" s="1"/>
  <c r="AV23" i="7"/>
  <c r="BJ23" i="7" s="1"/>
  <c r="BQ56" i="7"/>
  <c r="AV54" i="7"/>
  <c r="BJ54" i="7" s="1"/>
  <c r="AV49" i="7"/>
  <c r="BJ49" i="7" s="1"/>
  <c r="AU50" i="7"/>
  <c r="AU30" i="7"/>
  <c r="AU32" i="7"/>
  <c r="AV43" i="7"/>
  <c r="BJ43" i="7" s="1"/>
  <c r="AU21" i="7"/>
  <c r="AV51" i="7"/>
  <c r="BJ51" i="7" s="1"/>
  <c r="AU44" i="7"/>
  <c r="AV40" i="7"/>
  <c r="BJ40" i="7" s="1"/>
  <c r="AU52" i="7"/>
  <c r="AU31" i="7"/>
  <c r="AV46" i="7"/>
  <c r="BJ46" i="7" s="1"/>
  <c r="AU23" i="7"/>
  <c r="AV42" i="7"/>
  <c r="BJ42" i="7" s="1"/>
  <c r="AU26" i="7"/>
  <c r="AE26" i="5"/>
  <c r="AI26" i="5" s="1"/>
  <c r="AJ26" i="5" s="1"/>
  <c r="AM26" i="5" s="1"/>
  <c r="AE30" i="7"/>
  <c r="AI30" i="7" s="1"/>
  <c r="AJ30" i="7" s="1"/>
  <c r="AM30" i="7" s="1"/>
  <c r="AJ39" i="5"/>
  <c r="BP37" i="7"/>
  <c r="BU37" i="7" s="1"/>
  <c r="BP35" i="7"/>
  <c r="BU35" i="7" s="1"/>
  <c r="BP33" i="7"/>
  <c r="BU33" i="7" s="1"/>
  <c r="BP39" i="7"/>
  <c r="BU39" i="7" s="1"/>
  <c r="BP31" i="7"/>
  <c r="BU31" i="7" s="1"/>
  <c r="BP32" i="7"/>
  <c r="BU32" i="7" s="1"/>
  <c r="BP23" i="7"/>
  <c r="BU23" i="7" s="1"/>
  <c r="P43" i="7"/>
  <c r="BP27" i="7"/>
  <c r="BU27" i="7" s="1"/>
  <c r="BP21" i="7"/>
  <c r="BU21" i="7" s="1"/>
  <c r="BP36" i="7"/>
  <c r="BU36" i="7" s="1"/>
  <c r="BP34" i="7"/>
  <c r="BU34" i="7" s="1"/>
  <c r="BP26" i="7"/>
  <c r="BU26" i="7" s="1"/>
  <c r="BP24" i="7"/>
  <c r="BU24" i="7" s="1"/>
  <c r="BP38" i="7"/>
  <c r="BU38" i="7" s="1"/>
  <c r="BP29" i="7"/>
  <c r="BU29" i="7" s="1"/>
  <c r="BP28" i="7"/>
  <c r="BU28" i="7" s="1"/>
  <c r="BP25" i="7"/>
  <c r="BU25" i="7" s="1"/>
  <c r="BP30" i="7"/>
  <c r="BU30" i="7" s="1"/>
  <c r="BP22" i="7"/>
  <c r="BU22" i="7" s="1"/>
  <c r="BP20" i="7"/>
  <c r="AE23" i="5"/>
  <c r="AI23" i="5" s="1"/>
  <c r="AJ23" i="5" s="1"/>
  <c r="AM23" i="5" s="1"/>
  <c r="D19" i="9" a="1"/>
  <c r="D19" i="9" s="1"/>
  <c r="AJ50" i="5"/>
  <c r="AY39" i="7"/>
  <c r="BL39" i="7" s="1"/>
  <c r="AY36" i="7"/>
  <c r="BL36" i="7" s="1"/>
  <c r="AY27" i="7"/>
  <c r="BL27" i="7" s="1"/>
  <c r="AY25" i="7"/>
  <c r="BL25" i="7" s="1"/>
  <c r="AY30" i="7"/>
  <c r="BL30" i="7" s="1"/>
  <c r="AY24" i="7"/>
  <c r="BL24" i="7" s="1"/>
  <c r="AY23" i="7"/>
  <c r="BL23" i="7" s="1"/>
  <c r="AY35" i="7"/>
  <c r="BL35" i="7" s="1"/>
  <c r="AY33" i="7"/>
  <c r="BL33" i="7" s="1"/>
  <c r="AY32" i="7"/>
  <c r="BL32" i="7" s="1"/>
  <c r="AY29" i="7"/>
  <c r="BL29" i="7" s="1"/>
  <c r="AY34" i="7"/>
  <c r="BL34" i="7" s="1"/>
  <c r="AY28" i="7"/>
  <c r="BL28" i="7" s="1"/>
  <c r="AY22" i="7"/>
  <c r="BL22" i="7" s="1"/>
  <c r="AY20" i="7"/>
  <c r="AY37" i="7"/>
  <c r="BL37" i="7" s="1"/>
  <c r="AY21" i="7"/>
  <c r="BL21" i="7" s="1"/>
  <c r="AY26" i="7"/>
  <c r="BL26" i="7" s="1"/>
  <c r="AY31" i="7"/>
  <c r="BL31" i="7" s="1"/>
  <c r="AY38" i="7"/>
  <c r="BL38" i="7" s="1"/>
  <c r="AJ37" i="7"/>
  <c r="AJ53" i="6"/>
  <c r="AJ56" i="6"/>
  <c r="AE21" i="7"/>
  <c r="AI21" i="7" s="1"/>
  <c r="AJ21" i="7" s="1"/>
  <c r="AM21" i="7" s="1"/>
  <c r="AJ50" i="6"/>
  <c r="AE33" i="6"/>
  <c r="AI33" i="6" s="1"/>
  <c r="AJ33" i="6" s="1"/>
  <c r="AM33" i="6" s="1"/>
  <c r="D9" i="9" a="1"/>
  <c r="D9" i="9" s="1"/>
  <c r="O43" i="7"/>
  <c r="O44" i="7"/>
  <c r="O31" i="4"/>
  <c r="AD19" i="4"/>
  <c r="O32" i="4"/>
  <c r="AB58" i="5"/>
  <c r="AC17" i="5"/>
  <c r="D22" i="9" a="1"/>
  <c r="D22" i="9" s="1"/>
  <c r="AM22" i="6"/>
  <c r="AM48" i="7"/>
  <c r="AJ25" i="7"/>
  <c r="AJ53" i="5"/>
  <c r="AE31" i="6"/>
  <c r="AI31" i="6" s="1"/>
  <c r="AJ31" i="6" s="1"/>
  <c r="AM31" i="6" s="1"/>
  <c r="AE38" i="7"/>
  <c r="AI38" i="7" s="1"/>
  <c r="D31" i="9" a="1"/>
  <c r="D31" i="9" s="1"/>
  <c r="P53" i="5"/>
  <c r="P54" i="5" s="1"/>
  <c r="BT21" i="5"/>
  <c r="BT35" i="5"/>
  <c r="BT36" i="5"/>
  <c r="BT30" i="5"/>
  <c r="BT26" i="5"/>
  <c r="BT22" i="5"/>
  <c r="BT34" i="5"/>
  <c r="BT33" i="5"/>
  <c r="BT32" i="5"/>
  <c r="BT24" i="5"/>
  <c r="BT23" i="5"/>
  <c r="BT20" i="5"/>
  <c r="BT37" i="5"/>
  <c r="BT38" i="5"/>
  <c r="BT25" i="5"/>
  <c r="BT17" i="5"/>
  <c r="BT18" i="5"/>
  <c r="BU18" i="5" s="1"/>
  <c r="BT28" i="5"/>
  <c r="BT31" i="5"/>
  <c r="BT27" i="5"/>
  <c r="BT29" i="5"/>
  <c r="AE31" i="5"/>
  <c r="AI31" i="5" s="1"/>
  <c r="AJ31" i="5" s="1"/>
  <c r="AM31" i="5" s="1"/>
  <c r="BQ45" i="6"/>
  <c r="BX43" i="6"/>
  <c r="BX41" i="6"/>
  <c r="BX40" i="6"/>
  <c r="BX37" i="6"/>
  <c r="BQ36" i="6"/>
  <c r="BX34" i="6"/>
  <c r="BQ31" i="6"/>
  <c r="BQ53" i="6"/>
  <c r="BX50" i="6"/>
  <c r="BQ32" i="6"/>
  <c r="BQ23" i="6"/>
  <c r="BQ20" i="6"/>
  <c r="BX54" i="6"/>
  <c r="BX48" i="6"/>
  <c r="BX46" i="6"/>
  <c r="BQ38" i="6"/>
  <c r="BQ34" i="6"/>
  <c r="BQ33" i="6"/>
  <c r="BX32" i="6"/>
  <c r="BX26" i="6"/>
  <c r="BQ25" i="6"/>
  <c r="BQ48" i="6"/>
  <c r="BQ39" i="6"/>
  <c r="BQ37" i="6"/>
  <c r="BQ35" i="6"/>
  <c r="BQ19" i="6"/>
  <c r="BX52" i="6"/>
  <c r="BQ42" i="6"/>
  <c r="BQ40" i="6"/>
  <c r="BX33" i="6"/>
  <c r="BX28" i="6"/>
  <c r="BX27" i="6"/>
  <c r="BX25" i="6"/>
  <c r="BQ22" i="6"/>
  <c r="BX36" i="6"/>
  <c r="BX31" i="6"/>
  <c r="BX23" i="6"/>
  <c r="BX22" i="6"/>
  <c r="BQ18" i="6"/>
  <c r="F68" i="6"/>
  <c r="BX56" i="6"/>
  <c r="BQ52" i="6"/>
  <c r="BQ44" i="6"/>
  <c r="BX39" i="6"/>
  <c r="BX38" i="6"/>
  <c r="BX30" i="6"/>
  <c r="BQ29" i="6"/>
  <c r="BX55" i="6"/>
  <c r="BX51" i="6"/>
  <c r="BX45" i="6"/>
  <c r="BX35" i="6"/>
  <c r="BQ28" i="6"/>
  <c r="BQ30" i="6"/>
  <c r="BQ27" i="6"/>
  <c r="BQ26" i="6"/>
  <c r="BX53" i="6"/>
  <c r="BX49" i="6"/>
  <c r="BQ17" i="6"/>
  <c r="BQ41" i="6"/>
  <c r="BX18" i="6"/>
  <c r="BQ50" i="6"/>
  <c r="BQ46" i="6"/>
  <c r="BQ21" i="6"/>
  <c r="BX19" i="6"/>
  <c r="BX24" i="6"/>
  <c r="BX20" i="6"/>
  <c r="AU18" i="6"/>
  <c r="AK42" i="6" s="1"/>
  <c r="AV44" i="6"/>
  <c r="BJ44" i="6" s="1"/>
  <c r="BX21" i="6"/>
  <c r="BX29" i="6"/>
  <c r="AU24" i="6"/>
  <c r="BQ43" i="6"/>
  <c r="AV43" i="6"/>
  <c r="BJ43" i="6" s="1"/>
  <c r="AV34" i="6"/>
  <c r="BJ34" i="6" s="1"/>
  <c r="AU31" i="6"/>
  <c r="AU26" i="6"/>
  <c r="BX17" i="6"/>
  <c r="BQ51" i="6"/>
  <c r="AV18" i="6"/>
  <c r="BJ18" i="6" s="1"/>
  <c r="AV31" i="6"/>
  <c r="BJ31" i="6" s="1"/>
  <c r="AV25" i="6"/>
  <c r="BJ25" i="6" s="1"/>
  <c r="AU19" i="6"/>
  <c r="BI19" i="6" s="1"/>
  <c r="BQ24" i="6"/>
  <c r="AU45" i="6"/>
  <c r="AU42" i="6"/>
  <c r="AV45" i="6"/>
  <c r="BJ45" i="6" s="1"/>
  <c r="AU55" i="6"/>
  <c r="AU27" i="6"/>
  <c r="AU21" i="6"/>
  <c r="AU20" i="6"/>
  <c r="AV27" i="6"/>
  <c r="BJ27" i="6" s="1"/>
  <c r="AV22" i="6"/>
  <c r="BJ22" i="6" s="1"/>
  <c r="BX44" i="6"/>
  <c r="AV52" i="6"/>
  <c r="BJ52" i="6" s="1"/>
  <c r="AU35" i="6"/>
  <c r="AV35" i="6"/>
  <c r="BJ35" i="6" s="1"/>
  <c r="AV41" i="6"/>
  <c r="BJ41" i="6" s="1"/>
  <c r="AU56" i="6"/>
  <c r="AV29" i="6"/>
  <c r="BJ29" i="6" s="1"/>
  <c r="AU25" i="6"/>
  <c r="BQ47" i="6"/>
  <c r="BX42" i="6"/>
  <c r="AV50" i="6"/>
  <c r="BJ50" i="6" s="1"/>
  <c r="AU32" i="6"/>
  <c r="AU28" i="6"/>
  <c r="AU37" i="6"/>
  <c r="AU30" i="6"/>
  <c r="AV42" i="6"/>
  <c r="BJ42" i="6" s="1"/>
  <c r="AV38" i="6"/>
  <c r="BJ38" i="6" s="1"/>
  <c r="BQ49" i="6"/>
  <c r="AU54" i="6"/>
  <c r="AV53" i="6"/>
  <c r="BJ53" i="6" s="1"/>
  <c r="AV24" i="6"/>
  <c r="BJ24" i="6" s="1"/>
  <c r="AU29" i="6"/>
  <c r="AV19" i="6"/>
  <c r="BJ19" i="6" s="1"/>
  <c r="AU39" i="6"/>
  <c r="AU23" i="6"/>
  <c r="AV49" i="6"/>
  <c r="BJ49" i="6" s="1"/>
  <c r="AU52" i="6"/>
  <c r="AV21" i="6"/>
  <c r="BJ21" i="6" s="1"/>
  <c r="AV23" i="6"/>
  <c r="BJ23" i="6" s="1"/>
  <c r="AU17" i="6"/>
  <c r="AK51" i="6" s="1"/>
  <c r="AU49" i="6"/>
  <c r="AV51" i="6"/>
  <c r="BJ51" i="6" s="1"/>
  <c r="BQ54" i="6"/>
  <c r="AV56" i="6"/>
  <c r="BJ56" i="6" s="1"/>
  <c r="AU44" i="6"/>
  <c r="AU48" i="6"/>
  <c r="AV37" i="6"/>
  <c r="BJ37" i="6" s="1"/>
  <c r="AU47" i="6"/>
  <c r="AU38" i="6"/>
  <c r="AU46" i="6"/>
  <c r="AV26" i="6"/>
  <c r="BJ26" i="6" s="1"/>
  <c r="AU53" i="6"/>
  <c r="AU43" i="6"/>
  <c r="AU51" i="6"/>
  <c r="AV54" i="6"/>
  <c r="BJ54" i="6" s="1"/>
  <c r="AV30" i="6"/>
  <c r="BJ30" i="6" s="1"/>
  <c r="AV36" i="6"/>
  <c r="BJ36" i="6" s="1"/>
  <c r="AV40" i="6"/>
  <c r="BJ40" i="6" s="1"/>
  <c r="AV33" i="6"/>
  <c r="BJ33" i="6" s="1"/>
  <c r="BQ55" i="6"/>
  <c r="AV48" i="6"/>
  <c r="BJ48" i="6" s="1"/>
  <c r="AU41" i="6"/>
  <c r="AV39" i="6"/>
  <c r="BJ39" i="6" s="1"/>
  <c r="AU50" i="6"/>
  <c r="AU22" i="6"/>
  <c r="AU34" i="6"/>
  <c r="AV28" i="6"/>
  <c r="BJ28" i="6" s="1"/>
  <c r="AV32" i="6"/>
  <c r="BJ32" i="6" s="1"/>
  <c r="AV55" i="6"/>
  <c r="BJ55" i="6" s="1"/>
  <c r="AU40" i="6"/>
  <c r="AU36" i="6"/>
  <c r="AV46" i="6"/>
  <c r="BJ46" i="6" s="1"/>
  <c r="AV17" i="6"/>
  <c r="AU33" i="6"/>
  <c r="AV47" i="6"/>
  <c r="BJ47" i="6" s="1"/>
  <c r="AV20" i="6"/>
  <c r="BJ20" i="6" s="1"/>
  <c r="BQ56" i="6"/>
  <c r="BX47" i="6"/>
  <c r="AE39" i="5"/>
  <c r="AI39" i="5" s="1"/>
  <c r="D25" i="9" a="1"/>
  <c r="D25" i="9" s="1"/>
  <c r="AJ47" i="5"/>
  <c r="AG20" i="7"/>
  <c r="AE34" i="5"/>
  <c r="AI34" i="5" s="1"/>
  <c r="AE22" i="5"/>
  <c r="AI22" i="5" s="1"/>
  <c r="AJ22" i="5" s="1"/>
  <c r="AM22" i="5" s="1"/>
  <c r="AJ24" i="4"/>
  <c r="F24" i="7"/>
  <c r="O22" i="7" s="1"/>
  <c r="BF17" i="7" s="1"/>
  <c r="BF18" i="7" s="1"/>
  <c r="BF19" i="7" s="1"/>
  <c r="BF20" i="7" s="1"/>
  <c r="BF21" i="7" s="1"/>
  <c r="BF22" i="7" s="1"/>
  <c r="BF23" i="7" s="1"/>
  <c r="BF24" i="7" s="1"/>
  <c r="BF25" i="7" s="1"/>
  <c r="BF26" i="7" s="1"/>
  <c r="BF27" i="7" s="1"/>
  <c r="BF28" i="7" s="1"/>
  <c r="BF29" i="7" s="1"/>
  <c r="BF30" i="7" s="1"/>
  <c r="BF31" i="7" s="1"/>
  <c r="BF32" i="7" s="1"/>
  <c r="BF33" i="7" s="1"/>
  <c r="BF34" i="7" s="1"/>
  <c r="BF35" i="7" s="1"/>
  <c r="BF36" i="7" s="1"/>
  <c r="BF37" i="7" s="1"/>
  <c r="BF38" i="7" s="1"/>
  <c r="BF39" i="7" s="1"/>
  <c r="BF40" i="7" s="1"/>
  <c r="BF41" i="7" s="1"/>
  <c r="BF42" i="7" s="1"/>
  <c r="BF43" i="7" s="1"/>
  <c r="BF44" i="7" s="1"/>
  <c r="BF45" i="7" s="1"/>
  <c r="BF46" i="7" s="1"/>
  <c r="BF47" i="7" s="1"/>
  <c r="BF48" i="7" s="1"/>
  <c r="BF49" i="7" s="1"/>
  <c r="BF50" i="7" s="1"/>
  <c r="BF51" i="7" s="1"/>
  <c r="BF52" i="7" s="1"/>
  <c r="BF53" i="7" s="1"/>
  <c r="BF54" i="7" s="1"/>
  <c r="BF55" i="7" s="1"/>
  <c r="BF56" i="7" s="1"/>
  <c r="AM56" i="7" s="1"/>
  <c r="F24" i="6"/>
  <c r="O22" i="6" s="1"/>
  <c r="BF17" i="6" s="1"/>
  <c r="BF18" i="6" s="1"/>
  <c r="BF19" i="6" s="1"/>
  <c r="BF20" i="6" s="1"/>
  <c r="BF21" i="6" s="1"/>
  <c r="BF22" i="6" s="1"/>
  <c r="BF23" i="6" s="1"/>
  <c r="BF24" i="6" s="1"/>
  <c r="BF25" i="6" s="1"/>
  <c r="BF26" i="6" s="1"/>
  <c r="BF27" i="6" s="1"/>
  <c r="BF28" i="6" s="1"/>
  <c r="BF29" i="6" s="1"/>
  <c r="BF30" i="6" s="1"/>
  <c r="BF31" i="6" s="1"/>
  <c r="BF32" i="6" s="1"/>
  <c r="BF33" i="6" s="1"/>
  <c r="BF34" i="6" s="1"/>
  <c r="BF35" i="6" s="1"/>
  <c r="BF36" i="6" s="1"/>
  <c r="BF37" i="6" s="1"/>
  <c r="BF38" i="6" s="1"/>
  <c r="BF39" i="6" s="1"/>
  <c r="BF40" i="6" s="1"/>
  <c r="BF41" i="6" s="1"/>
  <c r="F24" i="5"/>
  <c r="O22" i="5" s="1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F30" i="5" s="1"/>
  <c r="BF31" i="5" s="1"/>
  <c r="BF32" i="5" s="1"/>
  <c r="BF33" i="5" s="1"/>
  <c r="BF34" i="5" s="1"/>
  <c r="BF35" i="5" s="1"/>
  <c r="BF36" i="5" s="1"/>
  <c r="BF37" i="5" s="1"/>
  <c r="BF38" i="5" s="1"/>
  <c r="BF39" i="5" s="1"/>
  <c r="BF40" i="5" s="1"/>
  <c r="BF41" i="5" s="1"/>
  <c r="BF42" i="5" s="1"/>
  <c r="BF43" i="5" s="1"/>
  <c r="BF44" i="5" s="1"/>
  <c r="BF45" i="5" s="1"/>
  <c r="BF46" i="5" s="1"/>
  <c r="BF47" i="5" s="1"/>
  <c r="BF48" i="5" s="1"/>
  <c r="BF49" i="5" s="1"/>
  <c r="BF50" i="5" s="1"/>
  <c r="BF51" i="5" s="1"/>
  <c r="BF52" i="5" s="1"/>
  <c r="BF53" i="5" s="1"/>
  <c r="BF54" i="5" s="1"/>
  <c r="BF55" i="5" s="1"/>
  <c r="BF56" i="5" s="1"/>
  <c r="F24" i="3"/>
  <c r="O22" i="3" s="1"/>
  <c r="BF17" i="3" s="1"/>
  <c r="BF18" i="3" s="1"/>
  <c r="F24" i="4"/>
  <c r="O22" i="4" s="1"/>
  <c r="BF17" i="4" s="1"/>
  <c r="BF18" i="4" s="1"/>
  <c r="BF19" i="4" s="1"/>
  <c r="BF20" i="4" s="1"/>
  <c r="BF21" i="4" s="1"/>
  <c r="AJ54" i="3"/>
  <c r="P62" i="6"/>
  <c r="AT19" i="6"/>
  <c r="P32" i="6"/>
  <c r="BO19" i="6" s="1"/>
  <c r="AJ56" i="5"/>
  <c r="AJ47" i="3"/>
  <c r="AJ41" i="5"/>
  <c r="AE24" i="5"/>
  <c r="AI24" i="5" s="1"/>
  <c r="AJ24" i="5" s="1"/>
  <c r="AM24" i="5" s="1"/>
  <c r="AJ31" i="3"/>
  <c r="F68" i="4"/>
  <c r="BX54" i="4"/>
  <c r="BX53" i="4"/>
  <c r="BX42" i="4"/>
  <c r="BX41" i="4"/>
  <c r="BX32" i="4"/>
  <c r="BQ31" i="4"/>
  <c r="BX28" i="4"/>
  <c r="BQ56" i="4"/>
  <c r="BQ45" i="4"/>
  <c r="BQ40" i="4"/>
  <c r="BQ55" i="4"/>
  <c r="BQ49" i="4"/>
  <c r="BX29" i="4"/>
  <c r="BQ26" i="4"/>
  <c r="BX25" i="4"/>
  <c r="BQ23" i="4"/>
  <c r="BX49" i="4"/>
  <c r="BX47" i="4"/>
  <c r="BQ42" i="4"/>
  <c r="BQ38" i="4"/>
  <c r="BQ37" i="4"/>
  <c r="BX35" i="4"/>
  <c r="BX26" i="4"/>
  <c r="BQ25" i="4"/>
  <c r="BX18" i="4"/>
  <c r="BQ52" i="4"/>
  <c r="BQ44" i="4"/>
  <c r="BQ39" i="4"/>
  <c r="BQ36" i="4"/>
  <c r="BQ24" i="4"/>
  <c r="BX22" i="4"/>
  <c r="BX17" i="4"/>
  <c r="BQ48" i="4"/>
  <c r="BQ43" i="4"/>
  <c r="BQ35" i="4"/>
  <c r="BQ32" i="4"/>
  <c r="BQ28" i="4"/>
  <c r="BX19" i="4"/>
  <c r="BQ17" i="4"/>
  <c r="BX44" i="4"/>
  <c r="BQ29" i="4"/>
  <c r="BX55" i="4"/>
  <c r="BX51" i="4"/>
  <c r="BX46" i="4"/>
  <c r="BX45" i="4"/>
  <c r="BQ27" i="4"/>
  <c r="BQ20" i="4"/>
  <c r="BX33" i="4"/>
  <c r="BX21" i="4"/>
  <c r="BX39" i="4"/>
  <c r="BX24" i="4"/>
  <c r="BX48" i="4"/>
  <c r="AU39" i="4"/>
  <c r="AV54" i="4"/>
  <c r="BJ54" i="4" s="1"/>
  <c r="AU33" i="4"/>
  <c r="BX38" i="4"/>
  <c r="AV30" i="4"/>
  <c r="BJ30" i="4" s="1"/>
  <c r="AU24" i="4"/>
  <c r="AU51" i="4"/>
  <c r="AV48" i="4"/>
  <c r="BJ48" i="4" s="1"/>
  <c r="AV24" i="4"/>
  <c r="BJ24" i="4" s="1"/>
  <c r="AV35" i="4"/>
  <c r="BJ35" i="4" s="1"/>
  <c r="AV51" i="4"/>
  <c r="BJ51" i="4" s="1"/>
  <c r="AV55" i="4"/>
  <c r="BJ55" i="4" s="1"/>
  <c r="AV44" i="4"/>
  <c r="BJ44" i="4" s="1"/>
  <c r="AV53" i="4"/>
  <c r="BJ53" i="4" s="1"/>
  <c r="AV20" i="4"/>
  <c r="BJ20" i="4" s="1"/>
  <c r="AU40" i="4"/>
  <c r="AV22" i="4"/>
  <c r="BJ22" i="4" s="1"/>
  <c r="AU55" i="4"/>
  <c r="AU44" i="4"/>
  <c r="AU38" i="4"/>
  <c r="BX36" i="4"/>
  <c r="BX40" i="4"/>
  <c r="BQ54" i="4"/>
  <c r="AV52" i="4"/>
  <c r="BJ52" i="4" s="1"/>
  <c r="AU43" i="4"/>
  <c r="AV50" i="4"/>
  <c r="BJ50" i="4" s="1"/>
  <c r="AV49" i="4"/>
  <c r="BJ49" i="4" s="1"/>
  <c r="AV21" i="4"/>
  <c r="BJ21" i="4" s="1"/>
  <c r="AU21" i="4"/>
  <c r="AU47" i="4"/>
  <c r="AU32" i="4"/>
  <c r="AU42" i="4"/>
  <c r="AU50" i="4"/>
  <c r="AV38" i="4"/>
  <c r="BJ38" i="4" s="1"/>
  <c r="AU46" i="4"/>
  <c r="AV45" i="4"/>
  <c r="BJ45" i="4" s="1"/>
  <c r="AU52" i="4"/>
  <c r="AU18" i="4"/>
  <c r="AV26" i="4"/>
  <c r="BJ26" i="4" s="1"/>
  <c r="AU54" i="4"/>
  <c r="BX31" i="4"/>
  <c r="BQ34" i="4"/>
  <c r="BX56" i="4"/>
  <c r="BX34" i="4"/>
  <c r="AV43" i="4"/>
  <c r="BJ43" i="4" s="1"/>
  <c r="AV47" i="4"/>
  <c r="BJ47" i="4" s="1"/>
  <c r="AV32" i="4"/>
  <c r="BJ32" i="4" s="1"/>
  <c r="AV36" i="4"/>
  <c r="BJ36" i="4" s="1"/>
  <c r="AU36" i="4"/>
  <c r="AU49" i="4"/>
  <c r="AU48" i="4"/>
  <c r="AU23" i="4"/>
  <c r="AU41" i="4"/>
  <c r="AU19" i="4"/>
  <c r="BI19" i="4" s="1"/>
  <c r="AV41" i="4"/>
  <c r="BJ41" i="4" s="1"/>
  <c r="BQ53" i="4"/>
  <c r="BQ30" i="4"/>
  <c r="BQ50" i="4"/>
  <c r="AV17" i="4"/>
  <c r="AV34" i="4"/>
  <c r="BJ34" i="4" s="1"/>
  <c r="AV40" i="4"/>
  <c r="BJ40" i="4" s="1"/>
  <c r="AV31" i="4"/>
  <c r="BJ31" i="4" s="1"/>
  <c r="AU30" i="4"/>
  <c r="AU28" i="4"/>
  <c r="AU45" i="4"/>
  <c r="AU35" i="4"/>
  <c r="AU26" i="4"/>
  <c r="AV46" i="4"/>
  <c r="BJ46" i="4" s="1"/>
  <c r="AU37" i="4"/>
  <c r="AV29" i="4"/>
  <c r="BJ29" i="4" s="1"/>
  <c r="AU29" i="4"/>
  <c r="AU25" i="4"/>
  <c r="AV39" i="4"/>
  <c r="BJ39" i="4" s="1"/>
  <c r="AU27" i="4"/>
  <c r="AV42" i="4"/>
  <c r="BJ42" i="4" s="1"/>
  <c r="BQ47" i="4"/>
  <c r="BQ22" i="4"/>
  <c r="BQ21" i="4"/>
  <c r="AV37" i="4"/>
  <c r="BJ37" i="4" s="1"/>
  <c r="AU34" i="4"/>
  <c r="AV27" i="4"/>
  <c r="BJ27" i="4" s="1"/>
  <c r="AV28" i="4"/>
  <c r="BJ28" i="4" s="1"/>
  <c r="AU20" i="4"/>
  <c r="AV33" i="4"/>
  <c r="BJ33" i="4" s="1"/>
  <c r="AV23" i="4"/>
  <c r="BJ23" i="4" s="1"/>
  <c r="AV19" i="4"/>
  <c r="BJ19" i="4" s="1"/>
  <c r="AU53" i="4"/>
  <c r="AV56" i="4"/>
  <c r="BJ56" i="4" s="1"/>
  <c r="AU56" i="4"/>
  <c r="AV25" i="4"/>
  <c r="BJ25" i="4" s="1"/>
  <c r="AV18" i="4"/>
  <c r="BJ18" i="4" s="1"/>
  <c r="AU31" i="4"/>
  <c r="AU17" i="4"/>
  <c r="AU22" i="4"/>
  <c r="BX20" i="4"/>
  <c r="BQ51" i="4"/>
  <c r="BQ19" i="4"/>
  <c r="BQ33" i="4"/>
  <c r="BX52" i="4"/>
  <c r="BQ46" i="4"/>
  <c r="BX50" i="4"/>
  <c r="BQ18" i="4"/>
  <c r="BX43" i="4"/>
  <c r="BQ41" i="4"/>
  <c r="BX27" i="4"/>
  <c r="BX37" i="4"/>
  <c r="BX30" i="4"/>
  <c r="BX23" i="4"/>
  <c r="O61" i="4"/>
  <c r="Y19" i="4" s="1"/>
  <c r="AI17" i="5"/>
  <c r="O31" i="6"/>
  <c r="O32" i="6" s="1"/>
  <c r="AD19" i="6"/>
  <c r="AJ49" i="7"/>
  <c r="AM49" i="7" s="1"/>
  <c r="AR58" i="6"/>
  <c r="AS17" i="6"/>
  <c r="AJ35" i="7"/>
  <c r="AM35" i="7" s="1"/>
  <c r="AE32" i="7"/>
  <c r="AI32" i="7" s="1"/>
  <c r="AJ32" i="7" s="1"/>
  <c r="AM32" i="7" s="1"/>
  <c r="AE25" i="7"/>
  <c r="AI25" i="7" s="1"/>
  <c r="AE38" i="6"/>
  <c r="AI38" i="6" s="1"/>
  <c r="AJ38" i="6" s="1"/>
  <c r="AM38" i="6" s="1"/>
  <c r="BT58" i="4"/>
  <c r="AJ38" i="7"/>
  <c r="AM38" i="7" s="1"/>
  <c r="AK31" i="6"/>
  <c r="AK33" i="6"/>
  <c r="AK36" i="6"/>
  <c r="AJ51" i="5"/>
  <c r="AM51" i="5" s="1"/>
  <c r="AE32" i="6"/>
  <c r="AI32" i="6" s="1"/>
  <c r="AE34" i="7"/>
  <c r="AI34" i="7" s="1"/>
  <c r="AJ34" i="7" s="1"/>
  <c r="AM34" i="7" s="1"/>
  <c r="AJ44" i="7"/>
  <c r="AM44" i="7" s="1"/>
  <c r="AM40" i="6"/>
  <c r="D7" i="9" a="1"/>
  <c r="D7" i="9" s="1"/>
  <c r="D23" i="9" a="1"/>
  <c r="D23" i="9" s="1"/>
  <c r="AC19" i="7"/>
  <c r="AJ19" i="7" s="1"/>
  <c r="D24" i="9" a="1"/>
  <c r="D24" i="9" s="1"/>
  <c r="AM23" i="6"/>
  <c r="AO58" i="6"/>
  <c r="AE33" i="5"/>
  <c r="AI33" i="5" s="1"/>
  <c r="AJ33" i="5" s="1"/>
  <c r="AM33" i="5" s="1"/>
  <c r="P62" i="4"/>
  <c r="AT19" i="4"/>
  <c r="P32" i="4"/>
  <c r="BO19" i="4" s="1"/>
  <c r="AJ29" i="5"/>
  <c r="AM29" i="5" s="1"/>
  <c r="AJ23" i="4"/>
  <c r="D30" i="9" a="1"/>
  <c r="D30" i="9" s="1"/>
  <c r="O62" i="6"/>
  <c r="O61" i="6"/>
  <c r="Y19" i="6" s="1"/>
  <c r="AJ24" i="6"/>
  <c r="AM24" i="6" s="1"/>
  <c r="AE35" i="7"/>
  <c r="AI35" i="7" s="1"/>
  <c r="AE39" i="6"/>
  <c r="AI39" i="6" s="1"/>
  <c r="AJ39" i="6" s="1"/>
  <c r="AM39" i="6" s="1"/>
  <c r="AJ52" i="7"/>
  <c r="AM52" i="7" s="1"/>
  <c r="AE29" i="7"/>
  <c r="AI29" i="7" s="1"/>
  <c r="AJ29" i="7" s="1"/>
  <c r="AM29" i="7" s="1"/>
  <c r="AJ37" i="5"/>
  <c r="AM37" i="5" s="1"/>
  <c r="AJ55" i="7"/>
  <c r="AM55" i="7" s="1"/>
  <c r="AB58" i="7"/>
  <c r="AC17" i="7"/>
  <c r="AJ27" i="6"/>
  <c r="AM27" i="6" s="1"/>
  <c r="AJ18" i="7"/>
  <c r="AM18" i="7" s="1"/>
  <c r="AK22" i="6"/>
  <c r="AK56" i="6"/>
  <c r="AK30" i="6"/>
  <c r="AK39" i="6"/>
  <c r="AK45" i="6"/>
  <c r="AJ17" i="6"/>
  <c r="AJ32" i="6"/>
  <c r="AM32" i="6" s="1"/>
  <c r="D11" i="9" a="1"/>
  <c r="D11" i="9" s="1"/>
  <c r="AI19" i="3"/>
  <c r="AI58" i="3" s="1"/>
  <c r="AD58" i="3"/>
  <c r="AO58" i="7"/>
  <c r="AM35" i="6"/>
  <c r="G21" i="8" a="1"/>
  <c r="G21" i="8" s="1"/>
  <c r="Y19" i="3"/>
  <c r="O31" i="5"/>
  <c r="O32" i="5" s="1"/>
  <c r="AD19" i="5"/>
  <c r="AG22" i="7"/>
  <c r="AJ36" i="7"/>
  <c r="AM36" i="7" s="1"/>
  <c r="BT58" i="3"/>
  <c r="BU17" i="3"/>
  <c r="AM42" i="5"/>
  <c r="AO58" i="4"/>
  <c r="AE29" i="5"/>
  <c r="AI29" i="5" s="1"/>
  <c r="P43" i="6"/>
  <c r="BP29" i="6"/>
  <c r="BU29" i="6" s="1"/>
  <c r="BP27" i="6"/>
  <c r="BU27" i="6" s="1"/>
  <c r="BP39" i="6"/>
  <c r="BU39" i="6" s="1"/>
  <c r="BP37" i="6"/>
  <c r="BU37" i="6" s="1"/>
  <c r="BP30" i="6"/>
  <c r="BU30" i="6" s="1"/>
  <c r="BP22" i="6"/>
  <c r="BU22" i="6" s="1"/>
  <c r="BP34" i="6"/>
  <c r="BU34" i="6" s="1"/>
  <c r="BP31" i="6"/>
  <c r="BU31" i="6" s="1"/>
  <c r="BP24" i="6"/>
  <c r="BU24" i="6" s="1"/>
  <c r="BP23" i="6"/>
  <c r="BU23" i="6" s="1"/>
  <c r="BP35" i="6"/>
  <c r="BU35" i="6" s="1"/>
  <c r="BP32" i="6"/>
  <c r="BU32" i="6" s="1"/>
  <c r="BP21" i="6"/>
  <c r="BU21" i="6" s="1"/>
  <c r="BP20" i="6"/>
  <c r="BP26" i="6"/>
  <c r="BU26" i="6" s="1"/>
  <c r="BP25" i="6"/>
  <c r="BU25" i="6" s="1"/>
  <c r="BP38" i="6"/>
  <c r="BU38" i="6" s="1"/>
  <c r="BP33" i="6"/>
  <c r="BU33" i="6" s="1"/>
  <c r="BP36" i="6"/>
  <c r="BU36" i="6" s="1"/>
  <c r="BP28" i="6"/>
  <c r="BU28" i="6" s="1"/>
  <c r="AM47" i="7"/>
  <c r="AB58" i="4"/>
  <c r="AC17" i="4"/>
  <c r="AE22" i="7"/>
  <c r="AI22" i="7" s="1"/>
  <c r="AE31" i="7"/>
  <c r="AI31" i="7" s="1"/>
  <c r="AE37" i="5"/>
  <c r="AI37" i="5" s="1"/>
  <c r="AM41" i="7"/>
  <c r="AI17" i="7"/>
  <c r="AE28" i="7"/>
  <c r="AI28" i="7" s="1"/>
  <c r="AJ28" i="7" s="1"/>
  <c r="AM28" i="7" s="1"/>
  <c r="D32" i="9" a="1"/>
  <c r="D32" i="9" s="1"/>
  <c r="AK38" i="6"/>
  <c r="AK21" i="6"/>
  <c r="AK27" i="6"/>
  <c r="AK55" i="6"/>
  <c r="AK53" i="6"/>
  <c r="AM40" i="7"/>
  <c r="AE23" i="7"/>
  <c r="AI23" i="7" s="1"/>
  <c r="AJ23" i="7" s="1"/>
  <c r="AM23" i="7" s="1"/>
  <c r="AA58" i="7"/>
  <c r="AH21" i="7"/>
  <c r="AH23" i="7"/>
  <c r="AH22" i="7"/>
  <c r="AH20" i="7"/>
  <c r="D12" i="9" a="1"/>
  <c r="D12" i="9" s="1"/>
  <c r="AJ34" i="5"/>
  <c r="AM34" i="5" s="1"/>
  <c r="AM44" i="5"/>
  <c r="O62" i="3"/>
  <c r="O62" i="5"/>
  <c r="O61" i="5"/>
  <c r="Y19" i="5" s="1"/>
  <c r="AG21" i="7"/>
  <c r="AM18" i="5"/>
  <c r="AJ55" i="3"/>
  <c r="AE20" i="5"/>
  <c r="AI20" i="5" s="1"/>
  <c r="AJ20" i="5" s="1"/>
  <c r="AM20" i="5" s="1"/>
  <c r="AE30" i="5"/>
  <c r="AI30" i="5" s="1"/>
  <c r="AJ30" i="5" s="1"/>
  <c r="AM30" i="5" s="1"/>
  <c r="D8" i="9" a="1"/>
  <c r="D8" i="9" s="1"/>
  <c r="H12" i="8" a="1"/>
  <c r="H12" i="8" s="1"/>
  <c r="P60" i="3"/>
  <c r="P61" i="3" s="1"/>
  <c r="P30" i="3"/>
  <c r="P31" i="3"/>
  <c r="AJ45" i="5"/>
  <c r="AM45" i="5" s="1"/>
  <c r="AE27" i="5"/>
  <c r="AI27" i="5" s="1"/>
  <c r="AJ27" i="5" s="1"/>
  <c r="AM27" i="5" s="1"/>
  <c r="AJ21" i="5"/>
  <c r="AM21" i="5" s="1"/>
  <c r="AJ46" i="3"/>
  <c r="AJ49" i="4"/>
  <c r="AJ34" i="4"/>
  <c r="AJ46" i="7"/>
  <c r="AM46" i="7" s="1"/>
  <c r="AE24" i="7"/>
  <c r="AI24" i="7" s="1"/>
  <c r="AJ24" i="7" s="1"/>
  <c r="AM24" i="7" s="1"/>
  <c r="AJ43" i="4"/>
  <c r="AE32" i="5"/>
  <c r="AI32" i="5" s="1"/>
  <c r="AJ32" i="5" s="1"/>
  <c r="AM32" i="5" s="1"/>
  <c r="AJ29" i="3"/>
  <c r="AB58" i="6"/>
  <c r="AJ52" i="5"/>
  <c r="AM52" i="5" s="1"/>
  <c r="AJ52" i="3"/>
  <c r="O44" i="6"/>
  <c r="O43" i="6"/>
  <c r="AE21" i="6"/>
  <c r="AI21" i="6" s="1"/>
  <c r="AJ21" i="6" s="1"/>
  <c r="AM21" i="6" s="1"/>
  <c r="AE25" i="6"/>
  <c r="AI25" i="6" s="1"/>
  <c r="AJ25" i="6" s="1"/>
  <c r="AM25" i="6" s="1"/>
  <c r="AE20" i="6"/>
  <c r="AE26" i="6"/>
  <c r="AI26" i="6" s="1"/>
  <c r="AJ26" i="6" s="1"/>
  <c r="AM26" i="6" s="1"/>
  <c r="AE34" i="6"/>
  <c r="AI34" i="6" s="1"/>
  <c r="AJ34" i="6" s="1"/>
  <c r="AM34" i="6" s="1"/>
  <c r="AE28" i="6"/>
  <c r="AI28" i="6" s="1"/>
  <c r="AJ28" i="6" s="1"/>
  <c r="AM28" i="6" s="1"/>
  <c r="AE37" i="6"/>
  <c r="AI37" i="6" s="1"/>
  <c r="AJ37" i="6" s="1"/>
  <c r="AM37" i="6" s="1"/>
  <c r="AE38" i="5"/>
  <c r="AI38" i="5" s="1"/>
  <c r="AJ38" i="5" s="1"/>
  <c r="AM38" i="5" s="1"/>
  <c r="AJ33" i="7"/>
  <c r="AM33" i="7" s="1"/>
  <c r="AE58" i="4"/>
  <c r="AI17" i="4"/>
  <c r="AJ22" i="7"/>
  <c r="AM22" i="7" s="1"/>
  <c r="AJ42" i="7"/>
  <c r="AM42" i="7" s="1"/>
  <c r="AR58" i="7"/>
  <c r="AS17" i="7"/>
  <c r="AE30" i="6"/>
  <c r="AI30" i="6" s="1"/>
  <c r="AJ30" i="6" s="1"/>
  <c r="AM30" i="6" s="1"/>
  <c r="AJ31" i="7"/>
  <c r="AM31" i="7" s="1"/>
  <c r="BL20" i="6"/>
  <c r="BL58" i="6" s="1"/>
  <c r="AY58" i="6"/>
  <c r="AE36" i="6"/>
  <c r="AI36" i="6" s="1"/>
  <c r="AJ36" i="6" s="1"/>
  <c r="AM36" i="6" s="1"/>
  <c r="AE26" i="7"/>
  <c r="AI26" i="7" s="1"/>
  <c r="AJ26" i="7" s="1"/>
  <c r="AM26" i="7" s="1"/>
  <c r="AK47" i="6"/>
  <c r="AK26" i="6"/>
  <c r="AK29" i="6"/>
  <c r="AK32" i="6"/>
  <c r="AJ46" i="6"/>
  <c r="AJ43" i="7"/>
  <c r="AM43" i="7" s="1"/>
  <c r="AJ53" i="7"/>
  <c r="AM53" i="7" s="1"/>
  <c r="O64" i="6" l="1"/>
  <c r="O63" i="6"/>
  <c r="Z19" i="6" s="1"/>
  <c r="Z58" i="6" s="1"/>
  <c r="AA19" i="6"/>
  <c r="E59" i="6"/>
  <c r="AG17" i="6"/>
  <c r="AQ19" i="4"/>
  <c r="AZ17" i="4"/>
  <c r="F59" i="4"/>
  <c r="P63" i="4"/>
  <c r="AP19" i="4" s="1"/>
  <c r="P64" i="4"/>
  <c r="Y58" i="4"/>
  <c r="AU58" i="4"/>
  <c r="BI17" i="4"/>
  <c r="BB17" i="4"/>
  <c r="AK47" i="4"/>
  <c r="BI34" i="4"/>
  <c r="BN34" i="4" s="1"/>
  <c r="BV34" i="4" s="1"/>
  <c r="BY34" i="4" s="1"/>
  <c r="BB34" i="4"/>
  <c r="BC34" i="4" s="1"/>
  <c r="BI26" i="4"/>
  <c r="BN26" i="4" s="1"/>
  <c r="BV26" i="4" s="1"/>
  <c r="BY26" i="4" s="1"/>
  <c r="BB26" i="4"/>
  <c r="BC26" i="4" s="1"/>
  <c r="BJ17" i="4"/>
  <c r="BJ58" i="4" s="1"/>
  <c r="AV58" i="4"/>
  <c r="AK56" i="4"/>
  <c r="BB50" i="4"/>
  <c r="BC50" i="4" s="1"/>
  <c r="BI50" i="4"/>
  <c r="BN50" i="4" s="1"/>
  <c r="BV50" i="4" s="1"/>
  <c r="BY50" i="4" s="1"/>
  <c r="AK38" i="4"/>
  <c r="AK27" i="4"/>
  <c r="BI53" i="6"/>
  <c r="BN53" i="6" s="1"/>
  <c r="BV53" i="6" s="1"/>
  <c r="BY53" i="6" s="1"/>
  <c r="BB53" i="6"/>
  <c r="BC53" i="6" s="1"/>
  <c r="AK24" i="6"/>
  <c r="BI31" i="7"/>
  <c r="BI32" i="7"/>
  <c r="BI51" i="7"/>
  <c r="BN51" i="7" s="1"/>
  <c r="BV51" i="7" s="1"/>
  <c r="BY51" i="7" s="1"/>
  <c r="BB51" i="7"/>
  <c r="BC51" i="7" s="1"/>
  <c r="BD51" i="7" s="1"/>
  <c r="BI41" i="7"/>
  <c r="BN41" i="7" s="1"/>
  <c r="BV41" i="7" s="1"/>
  <c r="BY41" i="7" s="1"/>
  <c r="BB41" i="7"/>
  <c r="BC41" i="7" s="1"/>
  <c r="BD41" i="7" s="1"/>
  <c r="BI45" i="7"/>
  <c r="BN45" i="7" s="1"/>
  <c r="BV45" i="7" s="1"/>
  <c r="BY45" i="7" s="1"/>
  <c r="BB45" i="7"/>
  <c r="BC45" i="7" s="1"/>
  <c r="BD45" i="7" s="1"/>
  <c r="AK20" i="7"/>
  <c r="AK23" i="7"/>
  <c r="AK35" i="7"/>
  <c r="BU24" i="5"/>
  <c r="BU37" i="5"/>
  <c r="AK40" i="6"/>
  <c r="P64" i="7"/>
  <c r="P63" i="7"/>
  <c r="AP19" i="7" s="1"/>
  <c r="F59" i="7"/>
  <c r="AQ19" i="7"/>
  <c r="AZ17" i="7"/>
  <c r="AM50" i="7"/>
  <c r="AM55" i="5"/>
  <c r="O63" i="5"/>
  <c r="Z19" i="5" s="1"/>
  <c r="Z58" i="5" s="1"/>
  <c r="E59" i="5"/>
  <c r="AG17" i="5"/>
  <c r="AA19" i="5"/>
  <c r="AG18" i="5"/>
  <c r="O64" i="5"/>
  <c r="G22" i="8" a="1"/>
  <c r="G22" i="8" s="1"/>
  <c r="O64" i="3"/>
  <c r="G24" i="8" s="1" a="1"/>
  <c r="G24" i="8" s="1"/>
  <c r="E59" i="3"/>
  <c r="O63" i="3"/>
  <c r="AA19" i="3"/>
  <c r="AG17" i="3"/>
  <c r="AM17" i="6"/>
  <c r="AM19" i="7"/>
  <c r="AG23" i="7"/>
  <c r="AK49" i="6"/>
  <c r="AK43" i="4"/>
  <c r="BI31" i="4"/>
  <c r="BN31" i="4" s="1"/>
  <c r="BV31" i="4" s="1"/>
  <c r="BY31" i="4" s="1"/>
  <c r="BB31" i="4"/>
  <c r="BC31" i="4" s="1"/>
  <c r="BI53" i="4"/>
  <c r="BN53" i="4" s="1"/>
  <c r="BV53" i="4" s="1"/>
  <c r="BY53" i="4" s="1"/>
  <c r="BB53" i="4"/>
  <c r="BC53" i="4" s="1"/>
  <c r="BI27" i="4"/>
  <c r="BN27" i="4" s="1"/>
  <c r="BV27" i="4" s="1"/>
  <c r="BY27" i="4" s="1"/>
  <c r="BB27" i="4"/>
  <c r="BC27" i="4" s="1"/>
  <c r="BI35" i="4"/>
  <c r="BN35" i="4" s="1"/>
  <c r="BV35" i="4" s="1"/>
  <c r="BY35" i="4" s="1"/>
  <c r="BB35" i="4"/>
  <c r="BC35" i="4" s="1"/>
  <c r="BI41" i="4"/>
  <c r="BN41" i="4" s="1"/>
  <c r="BV41" i="4" s="1"/>
  <c r="BY41" i="4" s="1"/>
  <c r="BB41" i="4"/>
  <c r="BC41" i="4" s="1"/>
  <c r="BI54" i="4"/>
  <c r="BN54" i="4" s="1"/>
  <c r="BV54" i="4" s="1"/>
  <c r="BY54" i="4" s="1"/>
  <c r="BB54" i="4"/>
  <c r="BC54" i="4" s="1"/>
  <c r="BI42" i="4"/>
  <c r="BN42" i="4" s="1"/>
  <c r="BV42" i="4" s="1"/>
  <c r="BY42" i="4" s="1"/>
  <c r="BB42" i="4"/>
  <c r="BC42" i="4" s="1"/>
  <c r="BI38" i="4"/>
  <c r="BN38" i="4" s="1"/>
  <c r="BV38" i="4" s="1"/>
  <c r="BY38" i="4" s="1"/>
  <c r="BB38" i="4"/>
  <c r="BC38" i="4" s="1"/>
  <c r="AK55" i="4"/>
  <c r="AK33" i="4"/>
  <c r="AK41" i="4"/>
  <c r="AM41" i="5"/>
  <c r="BF22" i="4"/>
  <c r="AM21" i="4"/>
  <c r="BI23" i="6"/>
  <c r="BN23" i="6" s="1"/>
  <c r="BV23" i="6" s="1"/>
  <c r="BY23" i="6" s="1"/>
  <c r="BI42" i="6"/>
  <c r="BN42" i="6" s="1"/>
  <c r="BV42" i="6" s="1"/>
  <c r="BY42" i="6" s="1"/>
  <c r="BB42" i="6"/>
  <c r="BC42" i="6" s="1"/>
  <c r="BX58" i="6"/>
  <c r="AK54" i="6"/>
  <c r="AJ17" i="5"/>
  <c r="BI52" i="7"/>
  <c r="BN52" i="7" s="1"/>
  <c r="BV52" i="7" s="1"/>
  <c r="BY52" i="7" s="1"/>
  <c r="BB52" i="7"/>
  <c r="BC52" i="7" s="1"/>
  <c r="BD52" i="7" s="1"/>
  <c r="BI30" i="7"/>
  <c r="BI35" i="7"/>
  <c r="BB35" i="7"/>
  <c r="BC35" i="7" s="1"/>
  <c r="BD35" i="7" s="1"/>
  <c r="BI28" i="7"/>
  <c r="AU58" i="7"/>
  <c r="BI17" i="7"/>
  <c r="BB17" i="7"/>
  <c r="BI33" i="7"/>
  <c r="BI54" i="7"/>
  <c r="BN54" i="7" s="1"/>
  <c r="BV54" i="7" s="1"/>
  <c r="BY54" i="7" s="1"/>
  <c r="BB54" i="7"/>
  <c r="BC54" i="7" s="1"/>
  <c r="BD54" i="7" s="1"/>
  <c r="BI38" i="7"/>
  <c r="AK27" i="7"/>
  <c r="BI25" i="7"/>
  <c r="AK41" i="7"/>
  <c r="AK34" i="7"/>
  <c r="AK32" i="7"/>
  <c r="AK37" i="7"/>
  <c r="AK30" i="7"/>
  <c r="AK49" i="7"/>
  <c r="AK47" i="7"/>
  <c r="BU36" i="5"/>
  <c r="BU29" i="5"/>
  <c r="AK46" i="6"/>
  <c r="AM54" i="7"/>
  <c r="AM18" i="4"/>
  <c r="AK35" i="6"/>
  <c r="P62" i="5"/>
  <c r="AT19" i="5"/>
  <c r="P32" i="5"/>
  <c r="BO19" i="5" s="1"/>
  <c r="AI20" i="6"/>
  <c r="AJ20" i="6" s="1"/>
  <c r="AM20" i="6" s="1"/>
  <c r="AE58" i="6"/>
  <c r="D16" i="9" a="1"/>
  <c r="D16" i="9" s="1"/>
  <c r="D33" i="9" a="1"/>
  <c r="D33" i="9" s="1"/>
  <c r="AI19" i="6"/>
  <c r="AD58" i="6"/>
  <c r="AK30" i="4"/>
  <c r="BI45" i="4"/>
  <c r="BN45" i="4" s="1"/>
  <c r="BV45" i="4" s="1"/>
  <c r="BY45" i="4" s="1"/>
  <c r="BB45" i="4"/>
  <c r="BC45" i="4" s="1"/>
  <c r="BI23" i="4"/>
  <c r="BN23" i="4" s="1"/>
  <c r="BV23" i="4" s="1"/>
  <c r="BY23" i="4" s="1"/>
  <c r="BB23" i="4"/>
  <c r="BC23" i="4" s="1"/>
  <c r="AK25" i="4"/>
  <c r="BI43" i="4"/>
  <c r="BN43" i="4" s="1"/>
  <c r="BV43" i="4" s="1"/>
  <c r="BY43" i="4" s="1"/>
  <c r="BB43" i="4"/>
  <c r="BC43" i="4" s="1"/>
  <c r="BI44" i="4"/>
  <c r="BN44" i="4" s="1"/>
  <c r="BV44" i="4" s="1"/>
  <c r="BY44" i="4" s="1"/>
  <c r="BB44" i="4"/>
  <c r="BC44" i="4" s="1"/>
  <c r="AK39" i="4"/>
  <c r="AK42" i="4"/>
  <c r="BF19" i="3"/>
  <c r="BF20" i="3" s="1"/>
  <c r="AM18" i="3"/>
  <c r="BI33" i="6"/>
  <c r="BI34" i="6"/>
  <c r="BI46" i="6"/>
  <c r="BN46" i="6" s="1"/>
  <c r="BV46" i="6" s="1"/>
  <c r="BY46" i="6" s="1"/>
  <c r="BB46" i="6"/>
  <c r="BC46" i="6" s="1"/>
  <c r="BI39" i="6"/>
  <c r="BI25" i="6"/>
  <c r="BB25" i="6"/>
  <c r="BC25" i="6" s="1"/>
  <c r="BD25" i="6" s="1"/>
  <c r="BI45" i="6"/>
  <c r="BN45" i="6" s="1"/>
  <c r="BV45" i="6" s="1"/>
  <c r="BY45" i="6" s="1"/>
  <c r="BB45" i="6"/>
  <c r="BC45" i="6" s="1"/>
  <c r="BI26" i="6"/>
  <c r="BU20" i="7"/>
  <c r="BP58" i="7"/>
  <c r="BI50" i="7"/>
  <c r="BN50" i="7" s="1"/>
  <c r="BV50" i="7" s="1"/>
  <c r="BY50" i="7" s="1"/>
  <c r="BB50" i="7"/>
  <c r="BC50" i="7" s="1"/>
  <c r="BD50" i="7" s="1"/>
  <c r="BI37" i="7"/>
  <c r="BI42" i="7"/>
  <c r="BN42" i="7" s="1"/>
  <c r="BV42" i="7" s="1"/>
  <c r="BY42" i="7" s="1"/>
  <c r="BB42" i="7"/>
  <c r="BC42" i="7" s="1"/>
  <c r="BD42" i="7" s="1"/>
  <c r="BI49" i="7"/>
  <c r="BN49" i="7" s="1"/>
  <c r="BV49" i="7" s="1"/>
  <c r="BY49" i="7" s="1"/>
  <c r="BB49" i="7"/>
  <c r="BC49" i="7" s="1"/>
  <c r="BD49" i="7" s="1"/>
  <c r="BI47" i="7"/>
  <c r="BN47" i="7" s="1"/>
  <c r="BV47" i="7" s="1"/>
  <c r="BY47" i="7" s="1"/>
  <c r="BB47" i="7"/>
  <c r="BC47" i="7" s="1"/>
  <c r="BD47" i="7" s="1"/>
  <c r="BB43" i="7"/>
  <c r="BC43" i="7" s="1"/>
  <c r="BD43" i="7" s="1"/>
  <c r="BI43" i="7"/>
  <c r="BN43" i="7" s="1"/>
  <c r="BV43" i="7" s="1"/>
  <c r="BY43" i="7" s="1"/>
  <c r="BI40" i="7"/>
  <c r="BN40" i="7" s="1"/>
  <c r="BV40" i="7" s="1"/>
  <c r="BY40" i="7" s="1"/>
  <c r="BB40" i="7"/>
  <c r="BC40" i="7" s="1"/>
  <c r="BD40" i="7" s="1"/>
  <c r="BI29" i="7"/>
  <c r="AK39" i="7"/>
  <c r="AK52" i="7"/>
  <c r="AK36" i="7"/>
  <c r="AM46" i="5"/>
  <c r="AM20" i="4"/>
  <c r="BU28" i="5"/>
  <c r="BU30" i="5"/>
  <c r="AK20" i="6"/>
  <c r="AM18" i="6"/>
  <c r="AK37" i="6"/>
  <c r="AO58" i="5"/>
  <c r="AI58" i="7"/>
  <c r="AK40" i="4"/>
  <c r="AK37" i="4"/>
  <c r="AK21" i="4"/>
  <c r="BB25" i="4"/>
  <c r="BC25" i="4" s="1"/>
  <c r="BI25" i="4"/>
  <c r="BN25" i="4" s="1"/>
  <c r="BV25" i="4" s="1"/>
  <c r="BY25" i="4" s="1"/>
  <c r="BI28" i="4"/>
  <c r="BN28" i="4" s="1"/>
  <c r="BV28" i="4" s="1"/>
  <c r="BY28" i="4" s="1"/>
  <c r="BB28" i="4"/>
  <c r="BC28" i="4" s="1"/>
  <c r="BI48" i="4"/>
  <c r="BN48" i="4" s="1"/>
  <c r="BV48" i="4" s="1"/>
  <c r="BY48" i="4" s="1"/>
  <c r="BB48" i="4"/>
  <c r="BC48" i="4" s="1"/>
  <c r="BI18" i="4"/>
  <c r="BN18" i="4" s="1"/>
  <c r="BV18" i="4" s="1"/>
  <c r="BB18" i="4"/>
  <c r="BC18" i="4" s="1"/>
  <c r="BD18" i="4" s="1"/>
  <c r="AK32" i="4"/>
  <c r="BB55" i="4"/>
  <c r="BC55" i="4" s="1"/>
  <c r="BI55" i="4"/>
  <c r="BN55" i="4" s="1"/>
  <c r="BV55" i="4" s="1"/>
  <c r="BY55" i="4" s="1"/>
  <c r="BI33" i="4"/>
  <c r="BN33" i="4" s="1"/>
  <c r="BV33" i="4" s="1"/>
  <c r="BY33" i="4" s="1"/>
  <c r="BB33" i="4"/>
  <c r="BC33" i="4" s="1"/>
  <c r="AK48" i="4"/>
  <c r="BQ58" i="4"/>
  <c r="AK22" i="4"/>
  <c r="AV58" i="6"/>
  <c r="BJ17" i="6"/>
  <c r="BJ58" i="6" s="1"/>
  <c r="BI22" i="6"/>
  <c r="BI38" i="6"/>
  <c r="BI49" i="6"/>
  <c r="BN49" i="6" s="1"/>
  <c r="BV49" i="6" s="1"/>
  <c r="BY49" i="6" s="1"/>
  <c r="BB49" i="6"/>
  <c r="BC49" i="6" s="1"/>
  <c r="BI30" i="6"/>
  <c r="BI31" i="6"/>
  <c r="BI18" i="6"/>
  <c r="BN18" i="6" s="1"/>
  <c r="BV18" i="6" s="1"/>
  <c r="BB18" i="6"/>
  <c r="BC18" i="6" s="1"/>
  <c r="BD18" i="6" s="1"/>
  <c r="AM40" i="5"/>
  <c r="BT58" i="5"/>
  <c r="BU17" i="5"/>
  <c r="AY35" i="5"/>
  <c r="BL35" i="5" s="1"/>
  <c r="AY32" i="5"/>
  <c r="BL32" i="5" s="1"/>
  <c r="AY30" i="5"/>
  <c r="BL30" i="5" s="1"/>
  <c r="AY22" i="5"/>
  <c r="BL22" i="5" s="1"/>
  <c r="AY39" i="5"/>
  <c r="BL39" i="5" s="1"/>
  <c r="AY36" i="5"/>
  <c r="BL36" i="5" s="1"/>
  <c r="AY29" i="5"/>
  <c r="BL29" i="5" s="1"/>
  <c r="AY28" i="5"/>
  <c r="BL28" i="5" s="1"/>
  <c r="AY38" i="5"/>
  <c r="BL38" i="5" s="1"/>
  <c r="AY33" i="5"/>
  <c r="BL33" i="5" s="1"/>
  <c r="AY26" i="5"/>
  <c r="BL26" i="5" s="1"/>
  <c r="AY37" i="5"/>
  <c r="BL37" i="5" s="1"/>
  <c r="AY31" i="5"/>
  <c r="BL31" i="5" s="1"/>
  <c r="AY25" i="5"/>
  <c r="BL25" i="5" s="1"/>
  <c r="AY21" i="5"/>
  <c r="BL21" i="5" s="1"/>
  <c r="AY20" i="5"/>
  <c r="AY24" i="5"/>
  <c r="BL24" i="5" s="1"/>
  <c r="AY27" i="5"/>
  <c r="BL27" i="5" s="1"/>
  <c r="AY23" i="5"/>
  <c r="BL23" i="5" s="1"/>
  <c r="AY34" i="5"/>
  <c r="BL34" i="5" s="1"/>
  <c r="AK41" i="6"/>
  <c r="BI44" i="7"/>
  <c r="BN44" i="7" s="1"/>
  <c r="BV44" i="7" s="1"/>
  <c r="BY44" i="7" s="1"/>
  <c r="BB44" i="7"/>
  <c r="BC44" i="7" s="1"/>
  <c r="BD44" i="7" s="1"/>
  <c r="BI55" i="7"/>
  <c r="BN55" i="7" s="1"/>
  <c r="BV55" i="7" s="1"/>
  <c r="BY55" i="7" s="1"/>
  <c r="BB55" i="7"/>
  <c r="BC55" i="7" s="1"/>
  <c r="BD55" i="7" s="1"/>
  <c r="AK25" i="7"/>
  <c r="BI27" i="7"/>
  <c r="BQ58" i="7"/>
  <c r="AK48" i="7"/>
  <c r="AK38" i="7"/>
  <c r="BU22" i="5"/>
  <c r="BU31" i="5"/>
  <c r="BU34" i="5"/>
  <c r="AM48" i="5"/>
  <c r="AK23" i="6"/>
  <c r="AM39" i="7"/>
  <c r="BQ48" i="5"/>
  <c r="BQ35" i="5"/>
  <c r="BX33" i="5"/>
  <c r="BQ32" i="5"/>
  <c r="BQ30" i="5"/>
  <c r="BX23" i="5"/>
  <c r="BQ22" i="5"/>
  <c r="AV56" i="5"/>
  <c r="BJ56" i="5" s="1"/>
  <c r="BQ55" i="5"/>
  <c r="AU52" i="5"/>
  <c r="BQ44" i="5"/>
  <c r="AU43" i="5"/>
  <c r="BX42" i="5"/>
  <c r="AU38" i="5"/>
  <c r="BQ34" i="5"/>
  <c r="AV33" i="5"/>
  <c r="BJ33" i="5" s="1"/>
  <c r="BX54" i="5"/>
  <c r="BQ52" i="5"/>
  <c r="BQ47" i="5"/>
  <c r="BX46" i="5"/>
  <c r="BX38" i="5"/>
  <c r="AV34" i="5"/>
  <c r="BJ34" i="5" s="1"/>
  <c r="AU33" i="5"/>
  <c r="BQ27" i="5"/>
  <c r="AU24" i="5"/>
  <c r="AU20" i="5"/>
  <c r="BX19" i="5"/>
  <c r="AV53" i="5"/>
  <c r="BJ53" i="5" s="1"/>
  <c r="BQ51" i="5"/>
  <c r="AV47" i="5"/>
  <c r="BJ47" i="5" s="1"/>
  <c r="AU44" i="5"/>
  <c r="BX43" i="5"/>
  <c r="BQ39" i="5"/>
  <c r="BX49" i="5"/>
  <c r="BQ46" i="5"/>
  <c r="AU54" i="5"/>
  <c r="BQ50" i="5"/>
  <c r="BX40" i="5"/>
  <c r="BQ37" i="5"/>
  <c r="BX32" i="5"/>
  <c r="BQ26" i="5"/>
  <c r="BX47" i="5"/>
  <c r="BQ45" i="5"/>
  <c r="BQ41" i="5"/>
  <c r="AV40" i="5"/>
  <c r="BJ40" i="5" s="1"/>
  <c r="AU39" i="5"/>
  <c r="BX35" i="5"/>
  <c r="AU34" i="5"/>
  <c r="BQ33" i="5"/>
  <c r="AV32" i="5"/>
  <c r="BJ32" i="5" s="1"/>
  <c r="AV31" i="5"/>
  <c r="BJ31" i="5" s="1"/>
  <c r="BX28" i="5"/>
  <c r="BQ25" i="5"/>
  <c r="AU25" i="5"/>
  <c r="BQ56" i="5"/>
  <c r="AV52" i="5"/>
  <c r="BJ52" i="5" s="1"/>
  <c r="BX51" i="5"/>
  <c r="AU50" i="5"/>
  <c r="BX48" i="5"/>
  <c r="BX34" i="5"/>
  <c r="BQ31" i="5"/>
  <c r="AU30" i="5"/>
  <c r="BQ28" i="5"/>
  <c r="AU27" i="5"/>
  <c r="BX26" i="5"/>
  <c r="AV25" i="5"/>
  <c r="BJ25" i="5" s="1"/>
  <c r="AV20" i="5"/>
  <c r="BJ20" i="5" s="1"/>
  <c r="BQ19" i="5"/>
  <c r="AU19" i="5"/>
  <c r="BI19" i="5" s="1"/>
  <c r="AU18" i="5"/>
  <c r="AV17" i="5"/>
  <c r="BQ49" i="5"/>
  <c r="BX45" i="5"/>
  <c r="BQ36" i="5"/>
  <c r="BX30" i="5"/>
  <c r="AU29" i="5"/>
  <c r="BQ24" i="5"/>
  <c r="BX22" i="5"/>
  <c r="BX21" i="5"/>
  <c r="BQ20" i="5"/>
  <c r="BQ17" i="5"/>
  <c r="AU17" i="5"/>
  <c r="AK39" i="5" s="1"/>
  <c r="F68" i="5"/>
  <c r="AU49" i="5"/>
  <c r="AU46" i="5"/>
  <c r="BX44" i="5"/>
  <c r="AV42" i="5"/>
  <c r="BJ42" i="5" s="1"/>
  <c r="BQ40" i="5"/>
  <c r="AV28" i="5"/>
  <c r="BJ28" i="5" s="1"/>
  <c r="AV26" i="5"/>
  <c r="BJ26" i="5" s="1"/>
  <c r="BX18" i="5"/>
  <c r="AU48" i="5"/>
  <c r="AV45" i="5"/>
  <c r="BJ45" i="5" s="1"/>
  <c r="BX31" i="5"/>
  <c r="BX24" i="5"/>
  <c r="AV23" i="5"/>
  <c r="BJ23" i="5" s="1"/>
  <c r="BX50" i="5"/>
  <c r="AU47" i="5"/>
  <c r="AU45" i="5"/>
  <c r="BX37" i="5"/>
  <c r="BX36" i="5"/>
  <c r="AU23" i="5"/>
  <c r="BQ21" i="5"/>
  <c r="AV50" i="5"/>
  <c r="BJ50" i="5" s="1"/>
  <c r="BQ42" i="5"/>
  <c r="BX41" i="5"/>
  <c r="BX39" i="5"/>
  <c r="AV38" i="5"/>
  <c r="BJ38" i="5" s="1"/>
  <c r="AV37" i="5"/>
  <c r="BJ37" i="5" s="1"/>
  <c r="AU32" i="5"/>
  <c r="AV36" i="5"/>
  <c r="BJ36" i="5" s="1"/>
  <c r="AV18" i="5"/>
  <c r="BJ18" i="5" s="1"/>
  <c r="BX17" i="5"/>
  <c r="BX55" i="5"/>
  <c r="BX52" i="5"/>
  <c r="AU42" i="5"/>
  <c r="AU37" i="5"/>
  <c r="AV35" i="5"/>
  <c r="BJ35" i="5" s="1"/>
  <c r="AU28" i="5"/>
  <c r="AU26" i="5"/>
  <c r="BX25" i="5"/>
  <c r="AV22" i="5"/>
  <c r="BJ22" i="5" s="1"/>
  <c r="BQ54" i="5"/>
  <c r="BQ38" i="5"/>
  <c r="AU35" i="5"/>
  <c r="BX29" i="5"/>
  <c r="AU22" i="5"/>
  <c r="AV19" i="5"/>
  <c r="BJ19" i="5" s="1"/>
  <c r="AU55" i="5"/>
  <c r="AK23" i="5"/>
  <c r="BX20" i="5"/>
  <c r="AV48" i="5"/>
  <c r="BJ48" i="5" s="1"/>
  <c r="AU40" i="5"/>
  <c r="AV30" i="5"/>
  <c r="BJ30" i="5" s="1"/>
  <c r="BQ23" i="5"/>
  <c r="BQ53" i="5"/>
  <c r="AU41" i="5"/>
  <c r="AV21" i="5"/>
  <c r="BJ21" i="5" s="1"/>
  <c r="AV24" i="5"/>
  <c r="BJ24" i="5" s="1"/>
  <c r="AU21" i="5"/>
  <c r="BX27" i="5"/>
  <c r="BQ18" i="5"/>
  <c r="BX56" i="5"/>
  <c r="AK25" i="5"/>
  <c r="BQ43" i="5"/>
  <c r="BQ29" i="5"/>
  <c r="AK28" i="5"/>
  <c r="AV43" i="5"/>
  <c r="BJ43" i="5" s="1"/>
  <c r="AV44" i="5"/>
  <c r="BJ44" i="5" s="1"/>
  <c r="AK53" i="5"/>
  <c r="AK30" i="5"/>
  <c r="AK32" i="5"/>
  <c r="AV54" i="5"/>
  <c r="BJ54" i="5" s="1"/>
  <c r="AV29" i="5"/>
  <c r="BJ29" i="5" s="1"/>
  <c r="BX53" i="5"/>
  <c r="AU53" i="5"/>
  <c r="AV27" i="5"/>
  <c r="BJ27" i="5" s="1"/>
  <c r="AV49" i="5"/>
  <c r="BJ49" i="5" s="1"/>
  <c r="AV55" i="5"/>
  <c r="BJ55" i="5" s="1"/>
  <c r="AV46" i="5"/>
  <c r="BJ46" i="5" s="1"/>
  <c r="AU51" i="5"/>
  <c r="AU56" i="5"/>
  <c r="AV41" i="5"/>
  <c r="BJ41" i="5" s="1"/>
  <c r="AV39" i="5"/>
  <c r="BJ39" i="5" s="1"/>
  <c r="AK22" i="5"/>
  <c r="AU36" i="5"/>
  <c r="AV51" i="5"/>
  <c r="BJ51" i="5" s="1"/>
  <c r="AU31" i="5"/>
  <c r="BX50" i="3"/>
  <c r="BX55" i="3"/>
  <c r="BX51" i="3"/>
  <c r="BX37" i="3"/>
  <c r="BQ36" i="3"/>
  <c r="BX34" i="3"/>
  <c r="BQ31" i="3"/>
  <c r="BX28" i="3"/>
  <c r="BQ56" i="3"/>
  <c r="BQ53" i="3"/>
  <c r="BX52" i="3"/>
  <c r="BX46" i="3"/>
  <c r="BQ45" i="3"/>
  <c r="BQ42" i="3"/>
  <c r="BX40" i="3"/>
  <c r="BQ39" i="3"/>
  <c r="BQ29" i="3"/>
  <c r="BQ27" i="3"/>
  <c r="BX24" i="3"/>
  <c r="BX21" i="3"/>
  <c r="BX49" i="3"/>
  <c r="BX43" i="3"/>
  <c r="BQ48" i="3"/>
  <c r="BQ46" i="3"/>
  <c r="BX45" i="3"/>
  <c r="BQ40" i="3"/>
  <c r="BQ23" i="3"/>
  <c r="BQ22" i="3"/>
  <c r="BQ20" i="3"/>
  <c r="BX54" i="3"/>
  <c r="BQ49" i="3"/>
  <c r="BX41" i="3"/>
  <c r="BX36" i="3"/>
  <c r="BX33" i="3"/>
  <c r="BX29" i="3"/>
  <c r="BX26" i="3"/>
  <c r="BX19" i="3"/>
  <c r="BQ52" i="3"/>
  <c r="BX47" i="3"/>
  <c r="BQ44" i="3"/>
  <c r="BQ35" i="3"/>
  <c r="BQ34" i="3"/>
  <c r="BX32" i="3"/>
  <c r="BX31" i="3"/>
  <c r="BQ28" i="3"/>
  <c r="BX25" i="3"/>
  <c r="BQ21" i="3"/>
  <c r="BQ18" i="3"/>
  <c r="F68" i="3"/>
  <c r="BQ55" i="3"/>
  <c r="BX53" i="3"/>
  <c r="BQ51" i="3"/>
  <c r="BX48" i="3"/>
  <c r="BX30" i="3"/>
  <c r="BX39" i="3"/>
  <c r="BX38" i="3"/>
  <c r="BQ26" i="3"/>
  <c r="BQ19" i="3"/>
  <c r="BX44" i="3"/>
  <c r="BQ25" i="3"/>
  <c r="BX22" i="3"/>
  <c r="BQ17" i="3"/>
  <c r="BQ50" i="3"/>
  <c r="BX27" i="3"/>
  <c r="BQ47" i="3"/>
  <c r="BQ38" i="3"/>
  <c r="BQ54" i="3"/>
  <c r="BX17" i="3"/>
  <c r="BQ43" i="3"/>
  <c r="BX23" i="3"/>
  <c r="BQ33" i="3"/>
  <c r="BX42" i="3"/>
  <c r="BQ32" i="3"/>
  <c r="BQ37" i="3"/>
  <c r="BX35" i="3"/>
  <c r="BQ41" i="3"/>
  <c r="BQ30" i="3"/>
  <c r="BX56" i="3"/>
  <c r="BQ24" i="3"/>
  <c r="BX20" i="3"/>
  <c r="BX18" i="3"/>
  <c r="AK22" i="3"/>
  <c r="AU53" i="3"/>
  <c r="AU30" i="3"/>
  <c r="AV34" i="3"/>
  <c r="BJ34" i="3" s="1"/>
  <c r="AV55" i="3"/>
  <c r="BJ55" i="3" s="1"/>
  <c r="AU54" i="3"/>
  <c r="AU34" i="3"/>
  <c r="AV30" i="3"/>
  <c r="BJ30" i="3" s="1"/>
  <c r="AU42" i="3"/>
  <c r="AU36" i="3"/>
  <c r="AU21" i="3"/>
  <c r="AU55" i="3"/>
  <c r="AV25" i="3"/>
  <c r="BJ25" i="3" s="1"/>
  <c r="AV28" i="3"/>
  <c r="BJ28" i="3" s="1"/>
  <c r="AV54" i="3"/>
  <c r="BJ54" i="3" s="1"/>
  <c r="AU40" i="3"/>
  <c r="AU28" i="3"/>
  <c r="AU41" i="3"/>
  <c r="AU29" i="3"/>
  <c r="AV31" i="3"/>
  <c r="BJ31" i="3" s="1"/>
  <c r="AU38" i="3"/>
  <c r="AV52" i="3"/>
  <c r="BJ52" i="3" s="1"/>
  <c r="AU22" i="3"/>
  <c r="AU52" i="3"/>
  <c r="AV51" i="3"/>
  <c r="BJ51" i="3" s="1"/>
  <c r="AV39" i="3"/>
  <c r="BJ39" i="3" s="1"/>
  <c r="AV20" i="3"/>
  <c r="BJ20" i="3" s="1"/>
  <c r="AV38" i="3"/>
  <c r="BJ38" i="3" s="1"/>
  <c r="AU24" i="3"/>
  <c r="AK28" i="3" s="1"/>
  <c r="AV26" i="3"/>
  <c r="BJ26" i="3" s="1"/>
  <c r="AU20" i="3"/>
  <c r="AV56" i="3"/>
  <c r="BJ56" i="3" s="1"/>
  <c r="AV37" i="3"/>
  <c r="BJ37" i="3" s="1"/>
  <c r="AV43" i="3"/>
  <c r="BJ43" i="3" s="1"/>
  <c r="AV35" i="3"/>
  <c r="BJ35" i="3" s="1"/>
  <c r="AU49" i="3"/>
  <c r="AU51" i="3"/>
  <c r="AU19" i="3"/>
  <c r="BI19" i="3" s="1"/>
  <c r="AU25" i="3"/>
  <c r="AU44" i="3"/>
  <c r="AU23" i="3"/>
  <c r="AV50" i="3"/>
  <c r="BJ50" i="3" s="1"/>
  <c r="AV53" i="3"/>
  <c r="BJ53" i="3" s="1"/>
  <c r="AU37" i="3"/>
  <c r="AV32" i="3"/>
  <c r="BJ32" i="3" s="1"/>
  <c r="AU26" i="3"/>
  <c r="AU50" i="3"/>
  <c r="AV18" i="3"/>
  <c r="BJ18" i="3" s="1"/>
  <c r="AU56" i="3"/>
  <c r="AV40" i="3"/>
  <c r="BJ40" i="3" s="1"/>
  <c r="AV22" i="3"/>
  <c r="BJ22" i="3" s="1"/>
  <c r="AU45" i="3"/>
  <c r="AU46" i="3"/>
  <c r="AU17" i="3"/>
  <c r="AK33" i="3" s="1"/>
  <c r="AV24" i="3"/>
  <c r="BJ24" i="3" s="1"/>
  <c r="AV27" i="3"/>
  <c r="BJ27" i="3" s="1"/>
  <c r="AV47" i="3"/>
  <c r="BJ47" i="3" s="1"/>
  <c r="AV17" i="3"/>
  <c r="AV49" i="3"/>
  <c r="BJ49" i="3" s="1"/>
  <c r="AU31" i="3"/>
  <c r="AV45" i="3"/>
  <c r="BJ45" i="3" s="1"/>
  <c r="AV42" i="3"/>
  <c r="BJ42" i="3" s="1"/>
  <c r="AV41" i="3"/>
  <c r="BJ41" i="3" s="1"/>
  <c r="AV44" i="3"/>
  <c r="BJ44" i="3" s="1"/>
  <c r="AV29" i="3"/>
  <c r="BJ29" i="3" s="1"/>
  <c r="AU48" i="3"/>
  <c r="AU32" i="3"/>
  <c r="AV19" i="3"/>
  <c r="BJ19" i="3" s="1"/>
  <c r="AV21" i="3"/>
  <c r="BJ21" i="3" s="1"/>
  <c r="AU27" i="3"/>
  <c r="AU35" i="3"/>
  <c r="AU47" i="3"/>
  <c r="AV46" i="3"/>
  <c r="BJ46" i="3" s="1"/>
  <c r="AV23" i="3"/>
  <c r="BJ23" i="3" s="1"/>
  <c r="AU39" i="3"/>
  <c r="AU43" i="3"/>
  <c r="AV48" i="3"/>
  <c r="BJ48" i="3" s="1"/>
  <c r="AV36" i="3"/>
  <c r="BJ36" i="3" s="1"/>
  <c r="AV33" i="3"/>
  <c r="BJ33" i="3" s="1"/>
  <c r="AU18" i="3"/>
  <c r="AU33" i="3"/>
  <c r="AE58" i="7"/>
  <c r="AJ17" i="4"/>
  <c r="AI19" i="5"/>
  <c r="AI58" i="5" s="1"/>
  <c r="AD58" i="5"/>
  <c r="AK50" i="6"/>
  <c r="BI56" i="4"/>
  <c r="BN56" i="4" s="1"/>
  <c r="BV56" i="4" s="1"/>
  <c r="BY56" i="4" s="1"/>
  <c r="BB56" i="4"/>
  <c r="BC56" i="4" s="1"/>
  <c r="BI29" i="4"/>
  <c r="BN29" i="4" s="1"/>
  <c r="BV29" i="4" s="1"/>
  <c r="BY29" i="4" s="1"/>
  <c r="BB29" i="4"/>
  <c r="BC29" i="4" s="1"/>
  <c r="BI30" i="4"/>
  <c r="BN30" i="4" s="1"/>
  <c r="BV30" i="4" s="1"/>
  <c r="BY30" i="4" s="1"/>
  <c r="BB30" i="4"/>
  <c r="BC30" i="4" s="1"/>
  <c r="AK45" i="4"/>
  <c r="BI49" i="4"/>
  <c r="BN49" i="4" s="1"/>
  <c r="BV49" i="4" s="1"/>
  <c r="BY49" i="4" s="1"/>
  <c r="BB49" i="4"/>
  <c r="BC49" i="4" s="1"/>
  <c r="BB52" i="4"/>
  <c r="BC52" i="4" s="1"/>
  <c r="BI52" i="4"/>
  <c r="BN52" i="4" s="1"/>
  <c r="BV52" i="4" s="1"/>
  <c r="BY52" i="4" s="1"/>
  <c r="BB32" i="4"/>
  <c r="BC32" i="4" s="1"/>
  <c r="BI32" i="4"/>
  <c r="BN32" i="4" s="1"/>
  <c r="BV32" i="4" s="1"/>
  <c r="BY32" i="4" s="1"/>
  <c r="AK26" i="4"/>
  <c r="AM56" i="5"/>
  <c r="BF42" i="6"/>
  <c r="AM41" i="6"/>
  <c r="BI50" i="6"/>
  <c r="BN50" i="6" s="1"/>
  <c r="BV50" i="6" s="1"/>
  <c r="BY50" i="6" s="1"/>
  <c r="BB50" i="6"/>
  <c r="BC50" i="6" s="1"/>
  <c r="BI47" i="6"/>
  <c r="BN47" i="6" s="1"/>
  <c r="BV47" i="6" s="1"/>
  <c r="BY47" i="6" s="1"/>
  <c r="BB47" i="6"/>
  <c r="BC47" i="6" s="1"/>
  <c r="AU58" i="6"/>
  <c r="BI17" i="6"/>
  <c r="BB17" i="6"/>
  <c r="BI29" i="6"/>
  <c r="BN29" i="6" s="1"/>
  <c r="BV29" i="6" s="1"/>
  <c r="BY29" i="6" s="1"/>
  <c r="BI37" i="6"/>
  <c r="BN37" i="6" s="1"/>
  <c r="BV37" i="6" s="1"/>
  <c r="BY37" i="6" s="1"/>
  <c r="BB37" i="6"/>
  <c r="BC37" i="6" s="1"/>
  <c r="BD37" i="6" s="1"/>
  <c r="BI56" i="6"/>
  <c r="BN56" i="6" s="1"/>
  <c r="BV56" i="6" s="1"/>
  <c r="BY56" i="6" s="1"/>
  <c r="BB56" i="6"/>
  <c r="BC56" i="6" s="1"/>
  <c r="BI20" i="6"/>
  <c r="BB20" i="6"/>
  <c r="BC20" i="6" s="1"/>
  <c r="BD20" i="6" s="1"/>
  <c r="BQ58" i="6"/>
  <c r="AI19" i="4"/>
  <c r="AI58" i="4" s="1"/>
  <c r="AD58" i="4"/>
  <c r="AK43" i="6"/>
  <c r="BL20" i="7"/>
  <c r="BL58" i="7" s="1"/>
  <c r="AY58" i="7"/>
  <c r="BI26" i="7"/>
  <c r="BN26" i="7" s="1"/>
  <c r="BV26" i="7" s="1"/>
  <c r="BY26" i="7" s="1"/>
  <c r="BB26" i="7"/>
  <c r="BC26" i="7" s="1"/>
  <c r="BD26" i="7" s="1"/>
  <c r="AK46" i="7"/>
  <c r="BI48" i="7"/>
  <c r="BN48" i="7" s="1"/>
  <c r="BV48" i="7" s="1"/>
  <c r="BY48" i="7" s="1"/>
  <c r="BB48" i="7"/>
  <c r="BC48" i="7" s="1"/>
  <c r="BD48" i="7" s="1"/>
  <c r="BI36" i="7"/>
  <c r="AK55" i="7"/>
  <c r="AK56" i="7"/>
  <c r="BI46" i="7"/>
  <c r="BN46" i="7" s="1"/>
  <c r="BV46" i="7" s="1"/>
  <c r="BY46" i="7" s="1"/>
  <c r="BB46" i="7"/>
  <c r="BC46" i="7" s="1"/>
  <c r="BD46" i="7" s="1"/>
  <c r="AK22" i="7"/>
  <c r="BI18" i="7"/>
  <c r="BN18" i="7" s="1"/>
  <c r="BV18" i="7" s="1"/>
  <c r="BB18" i="7"/>
  <c r="BC18" i="7" s="1"/>
  <c r="BD18" i="7" s="1"/>
  <c r="AK24" i="7"/>
  <c r="AK21" i="7"/>
  <c r="BX58" i="7"/>
  <c r="AK53" i="7"/>
  <c r="AK50" i="7"/>
  <c r="BU27" i="5"/>
  <c r="BU32" i="5"/>
  <c r="BU33" i="5"/>
  <c r="AM36" i="5"/>
  <c r="AM27" i="7"/>
  <c r="AK48" i="6"/>
  <c r="AC58" i="7"/>
  <c r="AJ17" i="7"/>
  <c r="AK31" i="4"/>
  <c r="BI20" i="4"/>
  <c r="BN20" i="4" s="1"/>
  <c r="BV20" i="4" s="1"/>
  <c r="BY20" i="4" s="1"/>
  <c r="BB20" i="4"/>
  <c r="BC20" i="4" s="1"/>
  <c r="BD20" i="4" s="1"/>
  <c r="AK20" i="4"/>
  <c r="AK53" i="4"/>
  <c r="BI36" i="4"/>
  <c r="BN36" i="4" s="1"/>
  <c r="BV36" i="4" s="1"/>
  <c r="BY36" i="4" s="1"/>
  <c r="BB36" i="4"/>
  <c r="BC36" i="4" s="1"/>
  <c r="BB47" i="4"/>
  <c r="BC47" i="4" s="1"/>
  <c r="BI47" i="4"/>
  <c r="BN47" i="4" s="1"/>
  <c r="BV47" i="4" s="1"/>
  <c r="BY47" i="4" s="1"/>
  <c r="BI40" i="4"/>
  <c r="BN40" i="4" s="1"/>
  <c r="BV40" i="4" s="1"/>
  <c r="BY40" i="4" s="1"/>
  <c r="BB40" i="4"/>
  <c r="BC40" i="4" s="1"/>
  <c r="BI39" i="4"/>
  <c r="BN39" i="4" s="1"/>
  <c r="BV39" i="4" s="1"/>
  <c r="BY39" i="4" s="1"/>
  <c r="BB39" i="4"/>
  <c r="BC39" i="4" s="1"/>
  <c r="AK51" i="4"/>
  <c r="BU19" i="6"/>
  <c r="BU58" i="6" s="1"/>
  <c r="BO58" i="6"/>
  <c r="BI36" i="6"/>
  <c r="BI28" i="6"/>
  <c r="BN28" i="6" s="1"/>
  <c r="BV28" i="6" s="1"/>
  <c r="BY28" i="6" s="1"/>
  <c r="BB28" i="6"/>
  <c r="BC28" i="6" s="1"/>
  <c r="BD28" i="6" s="1"/>
  <c r="BI21" i="6"/>
  <c r="AM53" i="5"/>
  <c r="AK34" i="6"/>
  <c r="AK51" i="7"/>
  <c r="BI22" i="7"/>
  <c r="BI34" i="7"/>
  <c r="BI20" i="7"/>
  <c r="BU21" i="5"/>
  <c r="BU23" i="5"/>
  <c r="BU26" i="5"/>
  <c r="AM35" i="5"/>
  <c r="AM20" i="7"/>
  <c r="AM29" i="6"/>
  <c r="D27" i="9" a="1"/>
  <c r="D27" i="9" s="1"/>
  <c r="AM54" i="5"/>
  <c r="AK44" i="6"/>
  <c r="AM17" i="3"/>
  <c r="H21" i="8" a="1"/>
  <c r="H21" i="8" s="1"/>
  <c r="AO19" i="3"/>
  <c r="Y58" i="3"/>
  <c r="BU19" i="4"/>
  <c r="BU58" i="4" s="1"/>
  <c r="BO58" i="4"/>
  <c r="BC17" i="6"/>
  <c r="AE58" i="5"/>
  <c r="AK52" i="4"/>
  <c r="AK29" i="4"/>
  <c r="AK44" i="4"/>
  <c r="AK46" i="4"/>
  <c r="AK50" i="4"/>
  <c r="AK23" i="4"/>
  <c r="BB46" i="4"/>
  <c r="BC46" i="4" s="1"/>
  <c r="BI46" i="4"/>
  <c r="BN46" i="4" s="1"/>
  <c r="BV46" i="4" s="1"/>
  <c r="BY46" i="4" s="1"/>
  <c r="BI21" i="4"/>
  <c r="BN21" i="4" s="1"/>
  <c r="BV21" i="4" s="1"/>
  <c r="BY21" i="4" s="1"/>
  <c r="BB21" i="4"/>
  <c r="BC21" i="4" s="1"/>
  <c r="BD21" i="4" s="1"/>
  <c r="BI51" i="4"/>
  <c r="BN51" i="4" s="1"/>
  <c r="BV51" i="4" s="1"/>
  <c r="BY51" i="4" s="1"/>
  <c r="BB51" i="4"/>
  <c r="BC51" i="4" s="1"/>
  <c r="AK54" i="4"/>
  <c r="BX58" i="4"/>
  <c r="BH19" i="6"/>
  <c r="AT58" i="6"/>
  <c r="BB19" i="6"/>
  <c r="AM47" i="5"/>
  <c r="BB40" i="6"/>
  <c r="BC40" i="6" s="1"/>
  <c r="BD40" i="6" s="1"/>
  <c r="BI40" i="6"/>
  <c r="BN40" i="6" s="1"/>
  <c r="BV40" i="6" s="1"/>
  <c r="BY40" i="6" s="1"/>
  <c r="BI41" i="6"/>
  <c r="BN41" i="6" s="1"/>
  <c r="BV41" i="6" s="1"/>
  <c r="BY41" i="6" s="1"/>
  <c r="BB41" i="6"/>
  <c r="BC41" i="6" s="1"/>
  <c r="BD41" i="6" s="1"/>
  <c r="BI51" i="6"/>
  <c r="BN51" i="6" s="1"/>
  <c r="BV51" i="6" s="1"/>
  <c r="BY51" i="6" s="1"/>
  <c r="BB51" i="6"/>
  <c r="BC51" i="6" s="1"/>
  <c r="BI48" i="6"/>
  <c r="BN48" i="6" s="1"/>
  <c r="BV48" i="6" s="1"/>
  <c r="BY48" i="6" s="1"/>
  <c r="BB48" i="6"/>
  <c r="BC48" i="6" s="1"/>
  <c r="BI32" i="6"/>
  <c r="BI27" i="6"/>
  <c r="BB27" i="6"/>
  <c r="BC27" i="6" s="1"/>
  <c r="BD27" i="6" s="1"/>
  <c r="AK28" i="6"/>
  <c r="AM25" i="7"/>
  <c r="AM49" i="5"/>
  <c r="AK25" i="6"/>
  <c r="AM37" i="7"/>
  <c r="AM50" i="5"/>
  <c r="BI23" i="7"/>
  <c r="BN23" i="7" s="1"/>
  <c r="BV23" i="7" s="1"/>
  <c r="BY23" i="7" s="1"/>
  <c r="BB23" i="7"/>
  <c r="BC23" i="7" s="1"/>
  <c r="BD23" i="7" s="1"/>
  <c r="BI21" i="7"/>
  <c r="BI56" i="7"/>
  <c r="BN56" i="7" s="1"/>
  <c r="BV56" i="7" s="1"/>
  <c r="BY56" i="7" s="1"/>
  <c r="BB56" i="7"/>
  <c r="BC56" i="7" s="1"/>
  <c r="BD56" i="7" s="1"/>
  <c r="BI24" i="7"/>
  <c r="BB24" i="7"/>
  <c r="BC24" i="7" s="1"/>
  <c r="BD24" i="7" s="1"/>
  <c r="AV58" i="7"/>
  <c r="BJ17" i="7"/>
  <c r="BJ58" i="7" s="1"/>
  <c r="AK26" i="7"/>
  <c r="AK28" i="7"/>
  <c r="AK45" i="7"/>
  <c r="AK42" i="7"/>
  <c r="BU25" i="5"/>
  <c r="BU38" i="5"/>
  <c r="AM51" i="7"/>
  <c r="AM45" i="7"/>
  <c r="AM43" i="5"/>
  <c r="BU19" i="7"/>
  <c r="BU58" i="7" s="1"/>
  <c r="BO58" i="7"/>
  <c r="BC17" i="7"/>
  <c r="P62" i="3"/>
  <c r="P32" i="3"/>
  <c r="BO19" i="3" s="1"/>
  <c r="AT19" i="3"/>
  <c r="AW37" i="6"/>
  <c r="BK37" i="6" s="1"/>
  <c r="AW34" i="6"/>
  <c r="BK34" i="6" s="1"/>
  <c r="P44" i="6"/>
  <c r="AW31" i="6"/>
  <c r="BK31" i="6" s="1"/>
  <c r="AW38" i="6"/>
  <c r="BK38" i="6" s="1"/>
  <c r="AW33" i="6"/>
  <c r="BK33" i="6" s="1"/>
  <c r="AW26" i="6"/>
  <c r="BK26" i="6" s="1"/>
  <c r="AW21" i="6"/>
  <c r="BK21" i="6" s="1"/>
  <c r="AW20" i="6"/>
  <c r="AW39" i="6"/>
  <c r="BK39" i="6" s="1"/>
  <c r="AW25" i="6"/>
  <c r="BK25" i="6" s="1"/>
  <c r="AW28" i="6"/>
  <c r="BK28" i="6" s="1"/>
  <c r="AW27" i="6"/>
  <c r="BK27" i="6" s="1"/>
  <c r="AW35" i="6"/>
  <c r="BK35" i="6" s="1"/>
  <c r="AW32" i="6"/>
  <c r="BK32" i="6" s="1"/>
  <c r="AW36" i="6"/>
  <c r="BK36" i="6" s="1"/>
  <c r="AW23" i="6"/>
  <c r="BK23" i="6" s="1"/>
  <c r="AW22" i="6"/>
  <c r="BK22" i="6" s="1"/>
  <c r="AW24" i="6"/>
  <c r="BK24" i="6" s="1"/>
  <c r="AW30" i="6"/>
  <c r="BK30" i="6" s="1"/>
  <c r="AW29" i="6"/>
  <c r="BK29" i="6" s="1"/>
  <c r="BB37" i="4"/>
  <c r="BC37" i="4" s="1"/>
  <c r="BI37" i="4"/>
  <c r="BN37" i="4" s="1"/>
  <c r="BV37" i="4" s="1"/>
  <c r="BY37" i="4" s="1"/>
  <c r="AC19" i="5"/>
  <c r="AJ19" i="5" s="1"/>
  <c r="AM19" i="5" s="1"/>
  <c r="Y58" i="5"/>
  <c r="BU20" i="6"/>
  <c r="BP58" i="6"/>
  <c r="AC19" i="6"/>
  <c r="Y58" i="6"/>
  <c r="BB19" i="4"/>
  <c r="BH19" i="4"/>
  <c r="AT58" i="4"/>
  <c r="O62" i="4"/>
  <c r="BI22" i="4"/>
  <c r="BN22" i="4" s="1"/>
  <c r="BV22" i="4" s="1"/>
  <c r="BY22" i="4" s="1"/>
  <c r="BB22" i="4"/>
  <c r="BC22" i="4" s="1"/>
  <c r="BD22" i="4" s="1"/>
  <c r="AK36" i="4"/>
  <c r="AK34" i="4"/>
  <c r="AK49" i="4"/>
  <c r="AK28" i="4"/>
  <c r="BI24" i="4"/>
  <c r="BN24" i="4" s="1"/>
  <c r="BV24" i="4" s="1"/>
  <c r="BY24" i="4" s="1"/>
  <c r="BB24" i="4"/>
  <c r="BC24" i="4" s="1"/>
  <c r="AK24" i="4"/>
  <c r="AK35" i="4"/>
  <c r="D18" i="9" a="1"/>
  <c r="D18" i="9" s="1"/>
  <c r="P63" i="6"/>
  <c r="AP19" i="6" s="1"/>
  <c r="AZ18" i="6"/>
  <c r="AQ19" i="6"/>
  <c r="P64" i="6"/>
  <c r="F59" i="6"/>
  <c r="AZ17" i="6"/>
  <c r="AZ19" i="6" s="1"/>
  <c r="BI43" i="6"/>
  <c r="BN43" i="6" s="1"/>
  <c r="BV43" i="6" s="1"/>
  <c r="BY43" i="6" s="1"/>
  <c r="BB43" i="6"/>
  <c r="BC43" i="6" s="1"/>
  <c r="BB44" i="6"/>
  <c r="BC44" i="6" s="1"/>
  <c r="BI44" i="6"/>
  <c r="BN44" i="6" s="1"/>
  <c r="BV44" i="6" s="1"/>
  <c r="BY44" i="6" s="1"/>
  <c r="BI52" i="6"/>
  <c r="BN52" i="6" s="1"/>
  <c r="BV52" i="6" s="1"/>
  <c r="BY52" i="6" s="1"/>
  <c r="BB52" i="6"/>
  <c r="BC52" i="6" s="1"/>
  <c r="BI54" i="6"/>
  <c r="BN54" i="6" s="1"/>
  <c r="BV54" i="6" s="1"/>
  <c r="BY54" i="6" s="1"/>
  <c r="BB54" i="6"/>
  <c r="BC54" i="6" s="1"/>
  <c r="BI35" i="6"/>
  <c r="BB35" i="6"/>
  <c r="BC35" i="6" s="1"/>
  <c r="BD35" i="6" s="1"/>
  <c r="BB55" i="6"/>
  <c r="BC55" i="6" s="1"/>
  <c r="BI55" i="6"/>
  <c r="BN55" i="6" s="1"/>
  <c r="BV55" i="6" s="1"/>
  <c r="BY55" i="6" s="1"/>
  <c r="BI24" i="6"/>
  <c r="BB24" i="6"/>
  <c r="BC24" i="6" s="1"/>
  <c r="BD24" i="6" s="1"/>
  <c r="AK52" i="6"/>
  <c r="AW38" i="7"/>
  <c r="BK38" i="7" s="1"/>
  <c r="AW37" i="7"/>
  <c r="BK37" i="7" s="1"/>
  <c r="P44" i="7"/>
  <c r="AW31" i="7"/>
  <c r="BK31" i="7" s="1"/>
  <c r="AW21" i="7"/>
  <c r="BK21" i="7" s="1"/>
  <c r="AW35" i="7"/>
  <c r="BK35" i="7" s="1"/>
  <c r="AW33" i="7"/>
  <c r="BK33" i="7" s="1"/>
  <c r="AW24" i="7"/>
  <c r="BK24" i="7" s="1"/>
  <c r="AW23" i="7"/>
  <c r="BK23" i="7" s="1"/>
  <c r="AW39" i="7"/>
  <c r="BK39" i="7" s="1"/>
  <c r="AW36" i="7"/>
  <c r="BK36" i="7" s="1"/>
  <c r="AW32" i="7"/>
  <c r="BK32" i="7" s="1"/>
  <c r="AW29" i="7"/>
  <c r="BK29" i="7" s="1"/>
  <c r="AW25" i="7"/>
  <c r="BK25" i="7" s="1"/>
  <c r="AW34" i="7"/>
  <c r="BK34" i="7" s="1"/>
  <c r="AW28" i="7"/>
  <c r="BK28" i="7" s="1"/>
  <c r="AW26" i="7"/>
  <c r="BK26" i="7" s="1"/>
  <c r="AW20" i="7"/>
  <c r="BB20" i="7" s="1"/>
  <c r="BC20" i="7" s="1"/>
  <c r="BD20" i="7" s="1"/>
  <c r="AW30" i="7"/>
  <c r="BK30" i="7" s="1"/>
  <c r="AW27" i="7"/>
  <c r="BK27" i="7" s="1"/>
  <c r="AW22" i="7"/>
  <c r="BK22" i="7" s="1"/>
  <c r="AM39" i="5"/>
  <c r="BI53" i="7"/>
  <c r="BN53" i="7" s="1"/>
  <c r="BV53" i="7" s="1"/>
  <c r="BY53" i="7" s="1"/>
  <c r="BB53" i="7"/>
  <c r="BC53" i="7" s="1"/>
  <c r="BD53" i="7" s="1"/>
  <c r="BI39" i="7"/>
  <c r="BB39" i="7"/>
  <c r="BC39" i="7" s="1"/>
  <c r="BD39" i="7" s="1"/>
  <c r="AK31" i="7"/>
  <c r="AK29" i="7"/>
  <c r="AK33" i="7"/>
  <c r="AK54" i="7"/>
  <c r="AK40" i="7"/>
  <c r="AK44" i="7"/>
  <c r="BU35" i="5"/>
  <c r="BU20" i="5"/>
  <c r="BP58" i="5"/>
  <c r="AW33" i="5"/>
  <c r="BK33" i="5" s="1"/>
  <c r="AW23" i="5"/>
  <c r="BK23" i="5" s="1"/>
  <c r="AW34" i="5"/>
  <c r="BK34" i="5" s="1"/>
  <c r="AW35" i="5"/>
  <c r="BK35" i="5" s="1"/>
  <c r="AW27" i="5"/>
  <c r="BK27" i="5" s="1"/>
  <c r="AW39" i="5"/>
  <c r="BK39" i="5" s="1"/>
  <c r="P44" i="5"/>
  <c r="AW32" i="5"/>
  <c r="BK32" i="5" s="1"/>
  <c r="AW31" i="5"/>
  <c r="BK31" i="5" s="1"/>
  <c r="AW20" i="5"/>
  <c r="AW29" i="5"/>
  <c r="BK29" i="5" s="1"/>
  <c r="AW28" i="5"/>
  <c r="BK28" i="5" s="1"/>
  <c r="AW26" i="5"/>
  <c r="BK26" i="5" s="1"/>
  <c r="AW38" i="5"/>
  <c r="BK38" i="5" s="1"/>
  <c r="AW37" i="5"/>
  <c r="BK37" i="5" s="1"/>
  <c r="AW25" i="5"/>
  <c r="BK25" i="5" s="1"/>
  <c r="AW36" i="5"/>
  <c r="BK36" i="5" s="1"/>
  <c r="AW22" i="5"/>
  <c r="BK22" i="5" s="1"/>
  <c r="AW21" i="5"/>
  <c r="BK21" i="5" s="1"/>
  <c r="AW24" i="5"/>
  <c r="BK24" i="5" s="1"/>
  <c r="AW30" i="5"/>
  <c r="BK30" i="5" s="1"/>
  <c r="BB19" i="7"/>
  <c r="BH19" i="7"/>
  <c r="AT58" i="7"/>
  <c r="AM25" i="5"/>
  <c r="BB33" i="6" l="1"/>
  <c r="BC33" i="6" s="1"/>
  <c r="BD33" i="6" s="1"/>
  <c r="BF23" i="4"/>
  <c r="AM22" i="4"/>
  <c r="BB32" i="7"/>
  <c r="BC32" i="7" s="1"/>
  <c r="BD32" i="7" s="1"/>
  <c r="AQ58" i="4"/>
  <c r="BD17" i="6"/>
  <c r="BB36" i="6"/>
  <c r="BC36" i="6" s="1"/>
  <c r="BD36" i="6" s="1"/>
  <c r="BI58" i="6"/>
  <c r="BN17" i="6"/>
  <c r="BI43" i="3"/>
  <c r="BN43" i="3" s="1"/>
  <c r="BV43" i="3" s="1"/>
  <c r="BY43" i="3" s="1"/>
  <c r="BB43" i="3"/>
  <c r="BC43" i="3" s="1"/>
  <c r="BI31" i="3"/>
  <c r="BN31" i="3" s="1"/>
  <c r="BV31" i="3" s="1"/>
  <c r="BY31" i="3" s="1"/>
  <c r="BB31" i="3"/>
  <c r="BC31" i="3" s="1"/>
  <c r="BI45" i="3"/>
  <c r="BN45" i="3" s="1"/>
  <c r="BV45" i="3" s="1"/>
  <c r="BY45" i="3" s="1"/>
  <c r="BB45" i="3"/>
  <c r="BC45" i="3" s="1"/>
  <c r="BI37" i="3"/>
  <c r="BN37" i="3" s="1"/>
  <c r="BV37" i="3" s="1"/>
  <c r="BY37" i="3" s="1"/>
  <c r="BB37" i="3"/>
  <c r="BC37" i="3" s="1"/>
  <c r="BI49" i="3"/>
  <c r="BN49" i="3" s="1"/>
  <c r="BV49" i="3" s="1"/>
  <c r="BY49" i="3" s="1"/>
  <c r="BB49" i="3"/>
  <c r="BC49" i="3" s="1"/>
  <c r="BB55" i="3"/>
  <c r="BC55" i="3" s="1"/>
  <c r="BI55" i="3"/>
  <c r="BN55" i="3" s="1"/>
  <c r="BV55" i="3" s="1"/>
  <c r="BY55" i="3" s="1"/>
  <c r="AK32" i="3"/>
  <c r="AK50" i="3"/>
  <c r="AK47" i="3"/>
  <c r="AK36" i="5"/>
  <c r="AK42" i="5"/>
  <c r="AK41" i="5"/>
  <c r="BB55" i="5"/>
  <c r="BC55" i="5" s="1"/>
  <c r="BD55" i="5" s="1"/>
  <c r="BI55" i="5"/>
  <c r="BN55" i="5" s="1"/>
  <c r="BV55" i="5" s="1"/>
  <c r="BY55" i="5" s="1"/>
  <c r="BX58" i="5"/>
  <c r="BQ58" i="5"/>
  <c r="BI24" i="5"/>
  <c r="BN24" i="5" s="1"/>
  <c r="BV24" i="5" s="1"/>
  <c r="BY24" i="5" s="1"/>
  <c r="BB24" i="5"/>
  <c r="BC24" i="5" s="1"/>
  <c r="BD24" i="5" s="1"/>
  <c r="O110" i="6"/>
  <c r="AL16" i="6" s="1"/>
  <c r="AM16" i="6" s="1"/>
  <c r="AK58" i="6"/>
  <c r="BN25" i="6"/>
  <c r="BV25" i="6" s="1"/>
  <c r="BY25" i="6" s="1"/>
  <c r="BN33" i="6"/>
  <c r="BV33" i="6" s="1"/>
  <c r="BY33" i="6" s="1"/>
  <c r="BU19" i="5"/>
  <c r="BO58" i="5"/>
  <c r="BB33" i="7"/>
  <c r="BC33" i="7" s="1"/>
  <c r="BD33" i="7" s="1"/>
  <c r="BN35" i="7"/>
  <c r="BV35" i="7" s="1"/>
  <c r="BY35" i="7" s="1"/>
  <c r="AA58" i="3"/>
  <c r="AA58" i="5"/>
  <c r="AK58" i="7"/>
  <c r="O110" i="7"/>
  <c r="AL16" i="7" s="1"/>
  <c r="AM16" i="7" s="1"/>
  <c r="BN32" i="7"/>
  <c r="BV32" i="7" s="1"/>
  <c r="BY32" i="7" s="1"/>
  <c r="AJ19" i="6"/>
  <c r="AC58" i="6"/>
  <c r="BU19" i="3"/>
  <c r="BU58" i="3" s="1"/>
  <c r="BO58" i="3"/>
  <c r="BN22" i="7"/>
  <c r="BV22" i="7" s="1"/>
  <c r="BY22" i="7" s="1"/>
  <c r="BF43" i="6"/>
  <c r="AM42" i="6"/>
  <c r="BI46" i="3"/>
  <c r="BN46" i="3" s="1"/>
  <c r="BV46" i="3" s="1"/>
  <c r="BY46" i="3" s="1"/>
  <c r="BB46" i="3"/>
  <c r="BC46" i="3" s="1"/>
  <c r="BB51" i="3"/>
  <c r="BC51" i="3" s="1"/>
  <c r="BI51" i="3"/>
  <c r="BN51" i="3" s="1"/>
  <c r="BV51" i="3" s="1"/>
  <c r="BY51" i="3" s="1"/>
  <c r="BI38" i="3"/>
  <c r="BN38" i="3" s="1"/>
  <c r="BV38" i="3" s="1"/>
  <c r="BY38" i="3" s="1"/>
  <c r="BB38" i="3"/>
  <c r="BC38" i="3" s="1"/>
  <c r="AK31" i="3"/>
  <c r="BI41" i="5"/>
  <c r="BN41" i="5" s="1"/>
  <c r="BV41" i="5" s="1"/>
  <c r="BY41" i="5" s="1"/>
  <c r="BB41" i="5"/>
  <c r="BC41" i="5" s="1"/>
  <c r="BD41" i="5" s="1"/>
  <c r="BI47" i="5"/>
  <c r="BN47" i="5" s="1"/>
  <c r="BV47" i="5" s="1"/>
  <c r="BY47" i="5" s="1"/>
  <c r="BB47" i="5"/>
  <c r="BC47" i="5" s="1"/>
  <c r="BD47" i="5" s="1"/>
  <c r="AU58" i="5"/>
  <c r="BI17" i="5"/>
  <c r="BB17" i="5"/>
  <c r="BI50" i="5"/>
  <c r="BN50" i="5" s="1"/>
  <c r="BV50" i="5" s="1"/>
  <c r="BY50" i="5" s="1"/>
  <c r="BB50" i="5"/>
  <c r="BC50" i="5" s="1"/>
  <c r="BD50" i="5" s="1"/>
  <c r="BI20" i="5"/>
  <c r="BB20" i="5"/>
  <c r="BC20" i="5" s="1"/>
  <c r="BD20" i="5" s="1"/>
  <c r="BI52" i="5"/>
  <c r="BN52" i="5" s="1"/>
  <c r="BV52" i="5" s="1"/>
  <c r="BY52" i="5" s="1"/>
  <c r="BB52" i="5"/>
  <c r="BC52" i="5" s="1"/>
  <c r="BD52" i="5" s="1"/>
  <c r="BN35" i="6"/>
  <c r="BV35" i="6" s="1"/>
  <c r="BY35" i="6" s="1"/>
  <c r="BI39" i="3"/>
  <c r="BN39" i="3" s="1"/>
  <c r="BV39" i="3" s="1"/>
  <c r="BY39" i="3" s="1"/>
  <c r="BB39" i="3"/>
  <c r="BC39" i="3" s="1"/>
  <c r="BI32" i="3"/>
  <c r="BN32" i="3" s="1"/>
  <c r="BV32" i="3" s="1"/>
  <c r="BY32" i="3" s="1"/>
  <c r="BB32" i="3"/>
  <c r="BC32" i="3" s="1"/>
  <c r="BI29" i="3"/>
  <c r="BN29" i="3" s="1"/>
  <c r="BV29" i="3" s="1"/>
  <c r="BY29" i="3" s="1"/>
  <c r="BB29" i="3"/>
  <c r="BC29" i="3" s="1"/>
  <c r="BI21" i="3"/>
  <c r="BN21" i="3" s="1"/>
  <c r="BV21" i="3" s="1"/>
  <c r="BY21" i="3" s="1"/>
  <c r="BB21" i="3"/>
  <c r="BC21" i="3" s="1"/>
  <c r="BI30" i="3"/>
  <c r="BN30" i="3" s="1"/>
  <c r="BV30" i="3" s="1"/>
  <c r="BY30" i="3" s="1"/>
  <c r="BB30" i="3"/>
  <c r="BC30" i="3" s="1"/>
  <c r="AK26" i="3"/>
  <c r="AK36" i="3"/>
  <c r="AK29" i="3"/>
  <c r="AK53" i="3"/>
  <c r="AK21" i="3"/>
  <c r="AK20" i="5"/>
  <c r="AK47" i="5"/>
  <c r="AK56" i="5"/>
  <c r="BI26" i="5"/>
  <c r="BN26" i="5" s="1"/>
  <c r="BV26" i="5" s="1"/>
  <c r="BY26" i="5" s="1"/>
  <c r="BB26" i="5"/>
  <c r="BC26" i="5" s="1"/>
  <c r="BD26" i="5" s="1"/>
  <c r="BI27" i="5"/>
  <c r="BN27" i="5" s="1"/>
  <c r="BV27" i="5" s="1"/>
  <c r="BY27" i="5" s="1"/>
  <c r="BB27" i="5"/>
  <c r="BC27" i="5" s="1"/>
  <c r="BD27" i="5" s="1"/>
  <c r="BI34" i="5"/>
  <c r="BN34" i="5" s="1"/>
  <c r="BV34" i="5" s="1"/>
  <c r="BY34" i="5" s="1"/>
  <c r="BB34" i="5"/>
  <c r="BC34" i="5" s="1"/>
  <c r="BD34" i="5" s="1"/>
  <c r="BB38" i="6"/>
  <c r="BC38" i="6" s="1"/>
  <c r="BD38" i="6" s="1"/>
  <c r="BB29" i="7"/>
  <c r="BC29" i="7" s="1"/>
  <c r="BD29" i="7" s="1"/>
  <c r="BN39" i="6"/>
  <c r="BV39" i="6" s="1"/>
  <c r="BY39" i="6" s="1"/>
  <c r="BB19" i="5"/>
  <c r="BH19" i="5"/>
  <c r="AT58" i="5"/>
  <c r="BB25" i="7"/>
  <c r="BC25" i="7" s="1"/>
  <c r="BD25" i="7" s="1"/>
  <c r="BN33" i="7"/>
  <c r="BV33" i="7" s="1"/>
  <c r="BY33" i="7" s="1"/>
  <c r="BB30" i="7"/>
  <c r="BC30" i="7" s="1"/>
  <c r="BD30" i="7" s="1"/>
  <c r="BD42" i="6"/>
  <c r="AG18" i="3"/>
  <c r="G23" i="8" a="1"/>
  <c r="G23" i="8" s="1"/>
  <c r="Z19" i="3"/>
  <c r="AG19" i="5"/>
  <c r="BB31" i="7"/>
  <c r="BC31" i="7" s="1"/>
  <c r="BD31" i="7" s="1"/>
  <c r="H22" i="8" a="1"/>
  <c r="H22" i="8" s="1"/>
  <c r="F59" i="3"/>
  <c r="P63" i="3"/>
  <c r="AZ17" i="3"/>
  <c r="AQ19" i="3"/>
  <c r="AZ18" i="3"/>
  <c r="P64" i="3"/>
  <c r="H24" i="8" s="1" a="1"/>
  <c r="H24" i="8" s="1"/>
  <c r="AZ19" i="3"/>
  <c r="BN19" i="6"/>
  <c r="BV19" i="6" s="1"/>
  <c r="BH58" i="6"/>
  <c r="BN36" i="6"/>
  <c r="BV36" i="6" s="1"/>
  <c r="BY36" i="6" s="1"/>
  <c r="BY15" i="4"/>
  <c r="F38" i="4" s="1"/>
  <c r="BB36" i="7"/>
  <c r="BC36" i="7" s="1"/>
  <c r="BD36" i="7" s="1"/>
  <c r="O64" i="4"/>
  <c r="O63" i="4"/>
  <c r="Z19" i="4" s="1"/>
  <c r="AG17" i="4"/>
  <c r="E59" i="4"/>
  <c r="AA19" i="4"/>
  <c r="BN24" i="7"/>
  <c r="BV24" i="7" s="1"/>
  <c r="BY24" i="7" s="1"/>
  <c r="BB32" i="6"/>
  <c r="BC32" i="6" s="1"/>
  <c r="BD32" i="6" s="1"/>
  <c r="BN36" i="7"/>
  <c r="BV36" i="7" s="1"/>
  <c r="BY36" i="7" s="1"/>
  <c r="BI48" i="3"/>
  <c r="BN48" i="3" s="1"/>
  <c r="BV48" i="3" s="1"/>
  <c r="BY48" i="3" s="1"/>
  <c r="BB48" i="3"/>
  <c r="BC48" i="3" s="1"/>
  <c r="BJ17" i="3"/>
  <c r="BJ58" i="3" s="1"/>
  <c r="AV58" i="3"/>
  <c r="BI41" i="3"/>
  <c r="BN41" i="3" s="1"/>
  <c r="BV41" i="3" s="1"/>
  <c r="BY41" i="3" s="1"/>
  <c r="BB41" i="3"/>
  <c r="BC41" i="3" s="1"/>
  <c r="BI36" i="3"/>
  <c r="BN36" i="3" s="1"/>
  <c r="BV36" i="3" s="1"/>
  <c r="BY36" i="3" s="1"/>
  <c r="BB36" i="3"/>
  <c r="BC36" i="3" s="1"/>
  <c r="BI53" i="3"/>
  <c r="BN53" i="3" s="1"/>
  <c r="BV53" i="3" s="1"/>
  <c r="BY53" i="3" s="1"/>
  <c r="BB53" i="3"/>
  <c r="BC53" i="3" s="1"/>
  <c r="AK41" i="3"/>
  <c r="AK42" i="3"/>
  <c r="AK45" i="3"/>
  <c r="BI53" i="5"/>
  <c r="BN53" i="5" s="1"/>
  <c r="BV53" i="5" s="1"/>
  <c r="BY53" i="5" s="1"/>
  <c r="BB53" i="5"/>
  <c r="BC53" i="5" s="1"/>
  <c r="BD53" i="5" s="1"/>
  <c r="AK51" i="5"/>
  <c r="AK27" i="5"/>
  <c r="AK21" i="5"/>
  <c r="AK29" i="5"/>
  <c r="BI22" i="5"/>
  <c r="BN22" i="5" s="1"/>
  <c r="BV22" i="5" s="1"/>
  <c r="BY22" i="5" s="1"/>
  <c r="BB22" i="5"/>
  <c r="BC22" i="5" s="1"/>
  <c r="BD22" i="5" s="1"/>
  <c r="BI28" i="5"/>
  <c r="BN28" i="5" s="1"/>
  <c r="BV28" i="5" s="1"/>
  <c r="BY28" i="5" s="1"/>
  <c r="BB28" i="5"/>
  <c r="BC28" i="5" s="1"/>
  <c r="BD28" i="5" s="1"/>
  <c r="AV58" i="5"/>
  <c r="BJ17" i="5"/>
  <c r="BJ58" i="5" s="1"/>
  <c r="BI44" i="5"/>
  <c r="BN44" i="5" s="1"/>
  <c r="BV44" i="5" s="1"/>
  <c r="BY44" i="5" s="1"/>
  <c r="BB44" i="5"/>
  <c r="BC44" i="5" s="1"/>
  <c r="BD44" i="5" s="1"/>
  <c r="BI33" i="5"/>
  <c r="BN33" i="5" s="1"/>
  <c r="BV33" i="5" s="1"/>
  <c r="BY33" i="5" s="1"/>
  <c r="BB33" i="5"/>
  <c r="BC33" i="5" s="1"/>
  <c r="BD33" i="5" s="1"/>
  <c r="BB27" i="7"/>
  <c r="BC27" i="7" s="1"/>
  <c r="BD27" i="7" s="1"/>
  <c r="BN38" i="6"/>
  <c r="BV38" i="6" s="1"/>
  <c r="BY38" i="6" s="1"/>
  <c r="BN29" i="7"/>
  <c r="BV29" i="7" s="1"/>
  <c r="BY29" i="7" s="1"/>
  <c r="BB39" i="6"/>
  <c r="BC39" i="6" s="1"/>
  <c r="BD39" i="6" s="1"/>
  <c r="AI58" i="6"/>
  <c r="P64" i="5"/>
  <c r="P63" i="5"/>
  <c r="AP19" i="5" s="1"/>
  <c r="F59" i="5"/>
  <c r="AQ19" i="5"/>
  <c r="AZ17" i="5"/>
  <c r="BN25" i="7"/>
  <c r="BV25" i="7" s="1"/>
  <c r="BY25" i="7" s="1"/>
  <c r="BN30" i="7"/>
  <c r="BV30" i="7" s="1"/>
  <c r="BY30" i="7" s="1"/>
  <c r="AG20" i="5"/>
  <c r="BN31" i="7"/>
  <c r="BV31" i="7" s="1"/>
  <c r="BY31" i="7" s="1"/>
  <c r="BD17" i="7"/>
  <c r="BN27" i="6"/>
  <c r="BV27" i="6" s="1"/>
  <c r="BY27" i="6" s="1"/>
  <c r="BN39" i="7"/>
  <c r="BV39" i="7" s="1"/>
  <c r="BY39" i="7" s="1"/>
  <c r="AZ20" i="6"/>
  <c r="AP58" i="6"/>
  <c r="AS19" i="6"/>
  <c r="BN32" i="6"/>
  <c r="BV32" i="6" s="1"/>
  <c r="BY32" i="6" s="1"/>
  <c r="AM17" i="4"/>
  <c r="BI33" i="3"/>
  <c r="BN33" i="3" s="1"/>
  <c r="BV33" i="3" s="1"/>
  <c r="BY33" i="3" s="1"/>
  <c r="BB33" i="3"/>
  <c r="BC33" i="3" s="1"/>
  <c r="BI56" i="3"/>
  <c r="BN56" i="3" s="1"/>
  <c r="BV56" i="3" s="1"/>
  <c r="BY56" i="3" s="1"/>
  <c r="BB56" i="3"/>
  <c r="BC56" i="3" s="1"/>
  <c r="BI23" i="3"/>
  <c r="BN23" i="3" s="1"/>
  <c r="BV23" i="3" s="1"/>
  <c r="BY23" i="3" s="1"/>
  <c r="BB23" i="3"/>
  <c r="BC23" i="3" s="1"/>
  <c r="BI28" i="3"/>
  <c r="BN28" i="3" s="1"/>
  <c r="BV28" i="3" s="1"/>
  <c r="BY28" i="3" s="1"/>
  <c r="BB28" i="3"/>
  <c r="BC28" i="3" s="1"/>
  <c r="BI42" i="3"/>
  <c r="BN42" i="3" s="1"/>
  <c r="BV42" i="3" s="1"/>
  <c r="BY42" i="3" s="1"/>
  <c r="BB42" i="3"/>
  <c r="BC42" i="3" s="1"/>
  <c r="AK38" i="3"/>
  <c r="AK40" i="3"/>
  <c r="AK54" i="3"/>
  <c r="AK56" i="3"/>
  <c r="AK37" i="3"/>
  <c r="BQ58" i="3"/>
  <c r="BI31" i="5"/>
  <c r="BN31" i="5" s="1"/>
  <c r="BV31" i="5" s="1"/>
  <c r="BY31" i="5" s="1"/>
  <c r="BB31" i="5"/>
  <c r="BC31" i="5" s="1"/>
  <c r="BD31" i="5" s="1"/>
  <c r="BI56" i="5"/>
  <c r="BN56" i="5" s="1"/>
  <c r="BV56" i="5" s="1"/>
  <c r="BY56" i="5" s="1"/>
  <c r="BB56" i="5"/>
  <c r="BC56" i="5" s="1"/>
  <c r="BD56" i="5" s="1"/>
  <c r="AK37" i="5"/>
  <c r="AK52" i="5"/>
  <c r="AK31" i="5"/>
  <c r="AK26" i="5"/>
  <c r="AK54" i="5"/>
  <c r="BI21" i="5"/>
  <c r="BN21" i="5" s="1"/>
  <c r="BV21" i="5" s="1"/>
  <c r="BY21" i="5" s="1"/>
  <c r="BB21" i="5"/>
  <c r="BC21" i="5" s="1"/>
  <c r="BD21" i="5" s="1"/>
  <c r="BI40" i="5"/>
  <c r="BN40" i="5" s="1"/>
  <c r="BV40" i="5" s="1"/>
  <c r="BY40" i="5" s="1"/>
  <c r="BB40" i="5"/>
  <c r="BC40" i="5" s="1"/>
  <c r="BD40" i="5" s="1"/>
  <c r="BI32" i="5"/>
  <c r="BN32" i="5" s="1"/>
  <c r="BV32" i="5" s="1"/>
  <c r="BY32" i="5" s="1"/>
  <c r="BB32" i="5"/>
  <c r="BC32" i="5" s="1"/>
  <c r="BD32" i="5" s="1"/>
  <c r="BI23" i="5"/>
  <c r="BN23" i="5" s="1"/>
  <c r="BV23" i="5" s="1"/>
  <c r="BY23" i="5" s="1"/>
  <c r="BB23" i="5"/>
  <c r="BC23" i="5" s="1"/>
  <c r="BD23" i="5" s="1"/>
  <c r="BB18" i="5"/>
  <c r="BC18" i="5" s="1"/>
  <c r="BD18" i="5" s="1"/>
  <c r="BI18" i="5"/>
  <c r="BN18" i="5" s="1"/>
  <c r="BV18" i="5" s="1"/>
  <c r="BI30" i="5"/>
  <c r="BN30" i="5" s="1"/>
  <c r="BV30" i="5" s="1"/>
  <c r="BY30" i="5" s="1"/>
  <c r="BB30" i="5"/>
  <c r="BC30" i="5" s="1"/>
  <c r="BD30" i="5" s="1"/>
  <c r="BI25" i="5"/>
  <c r="BN25" i="5" s="1"/>
  <c r="BV25" i="5" s="1"/>
  <c r="BY25" i="5" s="1"/>
  <c r="BB25" i="5"/>
  <c r="BC25" i="5" s="1"/>
  <c r="BD25" i="5" s="1"/>
  <c r="BI39" i="5"/>
  <c r="BN39" i="5" s="1"/>
  <c r="BV39" i="5" s="1"/>
  <c r="BY39" i="5" s="1"/>
  <c r="BB39" i="5"/>
  <c r="BC39" i="5" s="1"/>
  <c r="BD39" i="5" s="1"/>
  <c r="BB38" i="5"/>
  <c r="BC38" i="5" s="1"/>
  <c r="BD38" i="5" s="1"/>
  <c r="BI38" i="5"/>
  <c r="BN38" i="5" s="1"/>
  <c r="BV38" i="5" s="1"/>
  <c r="BY38" i="5" s="1"/>
  <c r="BN27" i="7"/>
  <c r="BV27" i="7" s="1"/>
  <c r="BY27" i="7" s="1"/>
  <c r="BB31" i="6"/>
  <c r="BC31" i="6" s="1"/>
  <c r="BD31" i="6" s="1"/>
  <c r="BN22" i="6"/>
  <c r="BV22" i="6" s="1"/>
  <c r="BY22" i="6" s="1"/>
  <c r="BB26" i="6"/>
  <c r="BC26" i="6" s="1"/>
  <c r="BD26" i="6" s="1"/>
  <c r="BF21" i="3"/>
  <c r="AM20" i="3"/>
  <c r="BI58" i="7"/>
  <c r="BN17" i="7"/>
  <c r="BB23" i="6"/>
  <c r="BC23" i="6" s="1"/>
  <c r="BD23" i="6" s="1"/>
  <c r="AZ18" i="7"/>
  <c r="BN19" i="4"/>
  <c r="BV19" i="4" s="1"/>
  <c r="BH58" i="4"/>
  <c r="BI18" i="3"/>
  <c r="BN18" i="3" s="1"/>
  <c r="BV18" i="3" s="1"/>
  <c r="BB18" i="3"/>
  <c r="BC18" i="3" s="1"/>
  <c r="BI47" i="3"/>
  <c r="BN47" i="3" s="1"/>
  <c r="BV47" i="3" s="1"/>
  <c r="BY47" i="3" s="1"/>
  <c r="BB47" i="3"/>
  <c r="BC47" i="3" s="1"/>
  <c r="BI44" i="3"/>
  <c r="BN44" i="3" s="1"/>
  <c r="BV44" i="3" s="1"/>
  <c r="BY44" i="3" s="1"/>
  <c r="BB44" i="3"/>
  <c r="BC44" i="3" s="1"/>
  <c r="BI52" i="3"/>
  <c r="BN52" i="3" s="1"/>
  <c r="BV52" i="3" s="1"/>
  <c r="BY52" i="3" s="1"/>
  <c r="BB52" i="3"/>
  <c r="BC52" i="3" s="1"/>
  <c r="BI40" i="3"/>
  <c r="BN40" i="3" s="1"/>
  <c r="BV40" i="3" s="1"/>
  <c r="BY40" i="3" s="1"/>
  <c r="BB40" i="3"/>
  <c r="BC40" i="3" s="1"/>
  <c r="AK34" i="3"/>
  <c r="AK30" i="3"/>
  <c r="AK35" i="3"/>
  <c r="AK55" i="3"/>
  <c r="BX58" i="3"/>
  <c r="BI51" i="5"/>
  <c r="BN51" i="5" s="1"/>
  <c r="BV51" i="5" s="1"/>
  <c r="BY51" i="5" s="1"/>
  <c r="BB51" i="5"/>
  <c r="BC51" i="5" s="1"/>
  <c r="BD51" i="5" s="1"/>
  <c r="AK46" i="5"/>
  <c r="AK50" i="5"/>
  <c r="AK43" i="5"/>
  <c r="AK38" i="5"/>
  <c r="AK45" i="5"/>
  <c r="BI35" i="5"/>
  <c r="BN35" i="5" s="1"/>
  <c r="BV35" i="5" s="1"/>
  <c r="BY35" i="5" s="1"/>
  <c r="BB35" i="5"/>
  <c r="BC35" i="5" s="1"/>
  <c r="BD35" i="5" s="1"/>
  <c r="BI37" i="5"/>
  <c r="BN37" i="5" s="1"/>
  <c r="BV37" i="5" s="1"/>
  <c r="BY37" i="5" s="1"/>
  <c r="BB37" i="5"/>
  <c r="BC37" i="5" s="1"/>
  <c r="BD37" i="5" s="1"/>
  <c r="BI46" i="5"/>
  <c r="BN46" i="5" s="1"/>
  <c r="BV46" i="5" s="1"/>
  <c r="BY46" i="5" s="1"/>
  <c r="BB46" i="5"/>
  <c r="BC46" i="5" s="1"/>
  <c r="BD46" i="5" s="1"/>
  <c r="BN26" i="6"/>
  <c r="BV26" i="6" s="1"/>
  <c r="BY26" i="6" s="1"/>
  <c r="BD23" i="4"/>
  <c r="BB38" i="7"/>
  <c r="BC38" i="7" s="1"/>
  <c r="BD38" i="7" s="1"/>
  <c r="AQ58" i="7"/>
  <c r="BA20" i="6"/>
  <c r="AQ58" i="6"/>
  <c r="O110" i="4"/>
  <c r="AL16" i="4" s="1"/>
  <c r="AM16" i="4" s="1"/>
  <c r="AK58" i="4"/>
  <c r="BB24" i="3"/>
  <c r="BC24" i="3" s="1"/>
  <c r="BI24" i="3"/>
  <c r="BN24" i="3" s="1"/>
  <c r="BV24" i="3" s="1"/>
  <c r="BY24" i="3" s="1"/>
  <c r="AK39" i="3"/>
  <c r="AK25" i="3"/>
  <c r="BD43" i="6"/>
  <c r="BK20" i="7"/>
  <c r="BK58" i="7" s="1"/>
  <c r="AW58" i="7"/>
  <c r="AO58" i="3"/>
  <c r="BB34" i="7"/>
  <c r="BC34" i="7" s="1"/>
  <c r="BD34" i="7" s="1"/>
  <c r="BB21" i="6"/>
  <c r="BC21" i="6" s="1"/>
  <c r="BD21" i="6" s="1"/>
  <c r="AJ58" i="7"/>
  <c r="AL58" i="7" s="1"/>
  <c r="AM17" i="7"/>
  <c r="AK44" i="3"/>
  <c r="BN31" i="6"/>
  <c r="BV31" i="6" s="1"/>
  <c r="BY31" i="6" s="1"/>
  <c r="BB22" i="6"/>
  <c r="BC22" i="6" s="1"/>
  <c r="BD22" i="6" s="1"/>
  <c r="BK20" i="5"/>
  <c r="BK58" i="5" s="1"/>
  <c r="AW58" i="5"/>
  <c r="BN24" i="6"/>
  <c r="BV24" i="6" s="1"/>
  <c r="BY24" i="6" s="1"/>
  <c r="BK20" i="6"/>
  <c r="BK58" i="6" s="1"/>
  <c r="AW58" i="6"/>
  <c r="BN21" i="7"/>
  <c r="BV21" i="7" s="1"/>
  <c r="BY21" i="7" s="1"/>
  <c r="BN34" i="7"/>
  <c r="BV34" i="7" s="1"/>
  <c r="BY34" i="7" s="1"/>
  <c r="BN21" i="6"/>
  <c r="BV21" i="6" s="1"/>
  <c r="BY21" i="6" s="1"/>
  <c r="BB29" i="6"/>
  <c r="BC29" i="6" s="1"/>
  <c r="BD29" i="6" s="1"/>
  <c r="BI35" i="3"/>
  <c r="BN35" i="3" s="1"/>
  <c r="BV35" i="3" s="1"/>
  <c r="BY35" i="3" s="1"/>
  <c r="BB35" i="3"/>
  <c r="BC35" i="3" s="1"/>
  <c r="BI50" i="3"/>
  <c r="BN50" i="3" s="1"/>
  <c r="BV50" i="3" s="1"/>
  <c r="BY50" i="3" s="1"/>
  <c r="BB50" i="3"/>
  <c r="BC50" i="3" s="1"/>
  <c r="BI25" i="3"/>
  <c r="BN25" i="3" s="1"/>
  <c r="BV25" i="3" s="1"/>
  <c r="BY25" i="3" s="1"/>
  <c r="BB25" i="3"/>
  <c r="BC25" i="3" s="1"/>
  <c r="BI20" i="3"/>
  <c r="BN20" i="3" s="1"/>
  <c r="BV20" i="3" s="1"/>
  <c r="BY20" i="3" s="1"/>
  <c r="BB20" i="3"/>
  <c r="BC20" i="3" s="1"/>
  <c r="BI22" i="3"/>
  <c r="BN22" i="3" s="1"/>
  <c r="BV22" i="3" s="1"/>
  <c r="BY22" i="3" s="1"/>
  <c r="BB22" i="3"/>
  <c r="BC22" i="3" s="1"/>
  <c r="BI34" i="3"/>
  <c r="BN34" i="3" s="1"/>
  <c r="BV34" i="3" s="1"/>
  <c r="BY34" i="3" s="1"/>
  <c r="BB34" i="3"/>
  <c r="BC34" i="3" s="1"/>
  <c r="AK52" i="3"/>
  <c r="AK27" i="3"/>
  <c r="AK24" i="3"/>
  <c r="AK46" i="3"/>
  <c r="AK49" i="3"/>
  <c r="AK43" i="3"/>
  <c r="AK33" i="5"/>
  <c r="AK24" i="5"/>
  <c r="AK40" i="5"/>
  <c r="AK44" i="5"/>
  <c r="BI42" i="5"/>
  <c r="BN42" i="5" s="1"/>
  <c r="BV42" i="5" s="1"/>
  <c r="BY42" i="5" s="1"/>
  <c r="BB42" i="5"/>
  <c r="BC42" i="5" s="1"/>
  <c r="BD42" i="5" s="1"/>
  <c r="BI48" i="5"/>
  <c r="BN48" i="5" s="1"/>
  <c r="BV48" i="5" s="1"/>
  <c r="BY48" i="5" s="1"/>
  <c r="BB48" i="5"/>
  <c r="BC48" i="5" s="1"/>
  <c r="BD48" i="5" s="1"/>
  <c r="BI49" i="5"/>
  <c r="BN49" i="5" s="1"/>
  <c r="BV49" i="5" s="1"/>
  <c r="BY49" i="5" s="1"/>
  <c r="BB49" i="5"/>
  <c r="BC49" i="5" s="1"/>
  <c r="BD49" i="5" s="1"/>
  <c r="BI29" i="5"/>
  <c r="BN29" i="5" s="1"/>
  <c r="BV29" i="5" s="1"/>
  <c r="BY29" i="5" s="1"/>
  <c r="BB29" i="5"/>
  <c r="BC29" i="5" s="1"/>
  <c r="BD29" i="5" s="1"/>
  <c r="BI54" i="5"/>
  <c r="BN54" i="5" s="1"/>
  <c r="BV54" i="5" s="1"/>
  <c r="BY54" i="5" s="1"/>
  <c r="BB54" i="5"/>
  <c r="BC54" i="5" s="1"/>
  <c r="BD54" i="5" s="1"/>
  <c r="BB43" i="5"/>
  <c r="BC43" i="5" s="1"/>
  <c r="BD43" i="5" s="1"/>
  <c r="BI43" i="5"/>
  <c r="BN43" i="5" s="1"/>
  <c r="BV43" i="5" s="1"/>
  <c r="BY43" i="5" s="1"/>
  <c r="BB30" i="6"/>
  <c r="BC30" i="6" s="1"/>
  <c r="BD30" i="6" s="1"/>
  <c r="BB37" i="7"/>
  <c r="BC37" i="7" s="1"/>
  <c r="BD37" i="7" s="1"/>
  <c r="BB34" i="6"/>
  <c r="BC34" i="6" s="1"/>
  <c r="BD34" i="6" s="1"/>
  <c r="BN38" i="7"/>
  <c r="BV38" i="7" s="1"/>
  <c r="BY38" i="7" s="1"/>
  <c r="BB28" i="7"/>
  <c r="BC28" i="7" s="1"/>
  <c r="BD28" i="7" s="1"/>
  <c r="AM17" i="5"/>
  <c r="AJ58" i="5"/>
  <c r="AP58" i="7"/>
  <c r="AS19" i="7"/>
  <c r="BB58" i="4"/>
  <c r="BC17" i="4"/>
  <c r="AA58" i="6"/>
  <c r="BN19" i="7"/>
  <c r="BV19" i="7" s="1"/>
  <c r="BH58" i="7"/>
  <c r="BB19" i="3"/>
  <c r="BH19" i="3"/>
  <c r="AT58" i="3"/>
  <c r="BB21" i="7"/>
  <c r="BC21" i="7" s="1"/>
  <c r="BD21" i="7" s="1"/>
  <c r="BB22" i="7"/>
  <c r="BC22" i="7" s="1"/>
  <c r="BD22" i="7" s="1"/>
  <c r="BI27" i="3"/>
  <c r="BN27" i="3" s="1"/>
  <c r="BV27" i="3" s="1"/>
  <c r="BY27" i="3" s="1"/>
  <c r="BB27" i="3"/>
  <c r="BC27" i="3" s="1"/>
  <c r="AU58" i="3"/>
  <c r="BI17" i="3"/>
  <c r="BB17" i="3"/>
  <c r="BI26" i="3"/>
  <c r="BN26" i="3" s="1"/>
  <c r="BV26" i="3" s="1"/>
  <c r="BY26" i="3" s="1"/>
  <c r="BB26" i="3"/>
  <c r="BC26" i="3" s="1"/>
  <c r="BI54" i="3"/>
  <c r="BN54" i="3" s="1"/>
  <c r="BV54" i="3" s="1"/>
  <c r="BY54" i="3" s="1"/>
  <c r="BB54" i="3"/>
  <c r="BC54" i="3" s="1"/>
  <c r="AK23" i="3"/>
  <c r="AK48" i="3"/>
  <c r="AK20" i="3"/>
  <c r="AK51" i="3"/>
  <c r="BI36" i="5"/>
  <c r="BN36" i="5" s="1"/>
  <c r="BV36" i="5" s="1"/>
  <c r="BY36" i="5" s="1"/>
  <c r="BB36" i="5"/>
  <c r="BC36" i="5" s="1"/>
  <c r="BD36" i="5" s="1"/>
  <c r="AK35" i="5"/>
  <c r="AK55" i="5"/>
  <c r="AK34" i="5"/>
  <c r="AK48" i="5"/>
  <c r="AK49" i="5"/>
  <c r="BI45" i="5"/>
  <c r="BN45" i="5" s="1"/>
  <c r="BV45" i="5" s="1"/>
  <c r="BY45" i="5" s="1"/>
  <c r="BB45" i="5"/>
  <c r="BC45" i="5" s="1"/>
  <c r="BD45" i="5" s="1"/>
  <c r="BL20" i="5"/>
  <c r="BL58" i="5" s="1"/>
  <c r="AY58" i="5"/>
  <c r="BU58" i="5"/>
  <c r="BN30" i="6"/>
  <c r="BV30" i="6" s="1"/>
  <c r="BY30" i="6" s="1"/>
  <c r="BN37" i="7"/>
  <c r="BV37" i="7" s="1"/>
  <c r="BY37" i="7" s="1"/>
  <c r="BN34" i="6"/>
  <c r="BV34" i="6" s="1"/>
  <c r="BY34" i="6" s="1"/>
  <c r="BN28" i="7"/>
  <c r="BV28" i="7" s="1"/>
  <c r="BY28" i="7" s="1"/>
  <c r="AC58" i="5"/>
  <c r="AH24" i="7"/>
  <c r="AG24" i="7"/>
  <c r="AG19" i="3"/>
  <c r="AZ19" i="7"/>
  <c r="BI58" i="4"/>
  <c r="BN17" i="4"/>
  <c r="AP58" i="4"/>
  <c r="AS19" i="4"/>
  <c r="AZ19" i="4"/>
  <c r="AZ18" i="4"/>
  <c r="AG18" i="6"/>
  <c r="E13" i="9" l="1" a="1"/>
  <c r="E13" i="9" s="1"/>
  <c r="AG25" i="7"/>
  <c r="AH25" i="7"/>
  <c r="AG26" i="7"/>
  <c r="E10" i="9" a="1"/>
  <c r="E10" i="9" s="1"/>
  <c r="AH20" i="5"/>
  <c r="AG19" i="6"/>
  <c r="BN19" i="5"/>
  <c r="BV19" i="5" s="1"/>
  <c r="BH58" i="5"/>
  <c r="E16" i="9" a="1"/>
  <c r="E16" i="9" s="1"/>
  <c r="BF44" i="6"/>
  <c r="AM43" i="6"/>
  <c r="E14" i="9" a="1"/>
  <c r="E14" i="9" s="1"/>
  <c r="BN19" i="3"/>
  <c r="BV19" i="3" s="1"/>
  <c r="BH58" i="3"/>
  <c r="BD17" i="4"/>
  <c r="E21" i="9" a="1"/>
  <c r="E21" i="9" s="1"/>
  <c r="E27" i="9" a="1"/>
  <c r="E27" i="9" s="1"/>
  <c r="BD18" i="3"/>
  <c r="E5" i="9" a="1"/>
  <c r="E5" i="9" s="1"/>
  <c r="AZ21" i="6"/>
  <c r="BV17" i="7"/>
  <c r="BB58" i="7"/>
  <c r="AG18" i="4"/>
  <c r="BB58" i="5"/>
  <c r="BC17" i="5"/>
  <c r="E25" i="9" a="1"/>
  <c r="E25" i="9" s="1"/>
  <c r="BB58" i="6"/>
  <c r="E18" i="9" a="1"/>
  <c r="E18" i="9" s="1"/>
  <c r="BF24" i="4"/>
  <c r="AM23" i="4"/>
  <c r="BA20" i="7"/>
  <c r="E23" i="9" a="1"/>
  <c r="E23" i="9" s="1"/>
  <c r="AA58" i="4"/>
  <c r="AG20" i="3"/>
  <c r="AG21" i="3"/>
  <c r="E19" i="9" a="1"/>
  <c r="E19" i="9" s="1"/>
  <c r="BI58" i="5"/>
  <c r="BN17" i="5"/>
  <c r="AH21" i="5"/>
  <c r="AH20" i="3"/>
  <c r="BN20" i="7"/>
  <c r="BV20" i="7" s="1"/>
  <c r="BY20" i="7" s="1"/>
  <c r="BY15" i="7" s="1"/>
  <c r="F38" i="7" s="1"/>
  <c r="AQ58" i="3"/>
  <c r="BA20" i="3"/>
  <c r="AG20" i="6"/>
  <c r="E30" i="9" a="1"/>
  <c r="E30" i="9" s="1"/>
  <c r="BC19" i="4"/>
  <c r="BD19" i="4" s="1"/>
  <c r="AS58" i="4"/>
  <c r="BC19" i="7"/>
  <c r="AS58" i="7"/>
  <c r="E9" i="9" a="1"/>
  <c r="E9" i="9" s="1"/>
  <c r="E22" i="9" a="1"/>
  <c r="E22" i="9" s="1"/>
  <c r="E11" i="9" a="1"/>
  <c r="E11" i="9" s="1"/>
  <c r="BA21" i="6"/>
  <c r="BF22" i="3"/>
  <c r="BD22" i="3" s="1"/>
  <c r="AM21" i="3"/>
  <c r="E29" i="9" a="1"/>
  <c r="E29" i="9" s="1"/>
  <c r="E20" i="9" a="1"/>
  <c r="E20" i="9" s="1"/>
  <c r="AZ22" i="6"/>
  <c r="E28" i="9" a="1"/>
  <c r="E28" i="9" s="1"/>
  <c r="E17" i="9" a="1"/>
  <c r="E17" i="9" s="1"/>
  <c r="E26" i="9" a="1"/>
  <c r="E26" i="9" s="1"/>
  <c r="BD20" i="3"/>
  <c r="E7" i="9" a="1"/>
  <c r="E7" i="9" s="1"/>
  <c r="E31" i="9" a="1"/>
  <c r="E31" i="9" s="1"/>
  <c r="E33" i="9" a="1"/>
  <c r="E33" i="9" s="1"/>
  <c r="AM58" i="7"/>
  <c r="AH22" i="3"/>
  <c r="E24" i="9" a="1"/>
  <c r="E24" i="9" s="1"/>
  <c r="BV17" i="6"/>
  <c r="BA20" i="4"/>
  <c r="AZ18" i="5"/>
  <c r="AP58" i="5"/>
  <c r="AS19" i="5"/>
  <c r="H23" i="8" a="1"/>
  <c r="H23" i="8" s="1"/>
  <c r="AP19" i="3"/>
  <c r="AZ20" i="7"/>
  <c r="Z58" i="3"/>
  <c r="AC19" i="3"/>
  <c r="BB58" i="3"/>
  <c r="BC17" i="3"/>
  <c r="AH20" i="6"/>
  <c r="BY15" i="3"/>
  <c r="F38" i="3" s="1"/>
  <c r="E15" i="9" a="1"/>
  <c r="E15" i="9" s="1"/>
  <c r="BC19" i="6"/>
  <c r="AS58" i="6"/>
  <c r="AZ20" i="4"/>
  <c r="AQ58" i="5"/>
  <c r="AG19" i="4"/>
  <c r="Z58" i="4"/>
  <c r="AC19" i="4"/>
  <c r="AZ20" i="3"/>
  <c r="AK58" i="5"/>
  <c r="O110" i="5"/>
  <c r="AL16" i="5" s="1"/>
  <c r="AM16" i="5" s="1"/>
  <c r="AM58" i="5" s="1"/>
  <c r="E8" i="9" a="1"/>
  <c r="E8" i="9" s="1"/>
  <c r="BD21" i="3"/>
  <c r="BN20" i="5"/>
  <c r="BV20" i="5" s="1"/>
  <c r="BY20" i="5" s="1"/>
  <c r="BY15" i="5" s="1"/>
  <c r="F38" i="5" s="1"/>
  <c r="BA21" i="4"/>
  <c r="AG21" i="5"/>
  <c r="BN58" i="4"/>
  <c r="BV17" i="4"/>
  <c r="O110" i="3"/>
  <c r="AL16" i="3" s="1"/>
  <c r="AM16" i="3" s="1"/>
  <c r="AK58" i="3"/>
  <c r="BI58" i="3"/>
  <c r="BN17" i="3"/>
  <c r="E12" i="9" a="1"/>
  <c r="E12" i="9" s="1"/>
  <c r="BA22" i="6"/>
  <c r="BA23" i="6"/>
  <c r="AG21" i="6"/>
  <c r="AZ23" i="6"/>
  <c r="AM19" i="6"/>
  <c r="AJ58" i="6"/>
  <c r="AL58" i="6" s="1"/>
  <c r="E32" i="9" a="1"/>
  <c r="E32" i="9" s="1"/>
  <c r="BN20" i="6"/>
  <c r="BV20" i="6" s="1"/>
  <c r="BY20" i="6" s="1"/>
  <c r="BY15" i="6" s="1"/>
  <c r="F38" i="6" s="1"/>
  <c r="BV58" i="4" l="1"/>
  <c r="AC11" i="4"/>
  <c r="BD19" i="6"/>
  <c r="BC58" i="6"/>
  <c r="BV58" i="6"/>
  <c r="AC11" i="6"/>
  <c r="BA21" i="7"/>
  <c r="BN58" i="7"/>
  <c r="AH26" i="7"/>
  <c r="BN58" i="6"/>
  <c r="BF25" i="4"/>
  <c r="AM24" i="4"/>
  <c r="BD24" i="4"/>
  <c r="AZ21" i="4"/>
  <c r="AH27" i="7"/>
  <c r="AL58" i="5"/>
  <c r="AP58" i="3"/>
  <c r="AS19" i="3"/>
  <c r="AZ19" i="5"/>
  <c r="AZ20" i="5"/>
  <c r="AG23" i="3"/>
  <c r="AH20" i="4"/>
  <c r="AG22" i="6"/>
  <c r="AG22" i="5"/>
  <c r="BC58" i="4"/>
  <c r="AG22" i="3"/>
  <c r="AH23" i="3" s="1"/>
  <c r="AH22" i="6"/>
  <c r="AG20" i="4"/>
  <c r="BD19" i="7"/>
  <c r="BD58" i="7" s="1"/>
  <c r="BC58" i="7"/>
  <c r="W11" i="7" s="1"/>
  <c r="AZ21" i="7"/>
  <c r="AH21" i="6"/>
  <c r="BF23" i="3"/>
  <c r="AM22" i="3"/>
  <c r="BN58" i="5"/>
  <c r="BV17" i="5"/>
  <c r="AZ24" i="6"/>
  <c r="BF45" i="6"/>
  <c r="AM44" i="6"/>
  <c r="BD44" i="6"/>
  <c r="AG21" i="4"/>
  <c r="AJ19" i="4"/>
  <c r="AC58" i="4"/>
  <c r="BN58" i="3"/>
  <c r="BV17" i="3"/>
  <c r="BD17" i="3"/>
  <c r="E4" i="9" a="1"/>
  <c r="E4" i="9" s="1"/>
  <c r="X11" i="7"/>
  <c r="Y11" i="7" s="1"/>
  <c r="AZ21" i="3"/>
  <c r="AH22" i="5"/>
  <c r="BA24" i="6"/>
  <c r="AG27" i="7"/>
  <c r="AH28" i="7" s="1"/>
  <c r="W11" i="6"/>
  <c r="BA21" i="5"/>
  <c r="AZ22" i="4"/>
  <c r="AJ19" i="3"/>
  <c r="AC58" i="3"/>
  <c r="BC19" i="5"/>
  <c r="BD19" i="5" s="1"/>
  <c r="AS58" i="5"/>
  <c r="AH21" i="3"/>
  <c r="BA21" i="3"/>
  <c r="BC58" i="5"/>
  <c r="BD17" i="5"/>
  <c r="BD58" i="5" s="1"/>
  <c r="X11" i="5" s="1"/>
  <c r="Y11" i="5" s="1"/>
  <c r="BV58" i="7"/>
  <c r="AC11" i="7"/>
  <c r="BA22" i="7"/>
  <c r="BA24" i="4" l="1"/>
  <c r="AZ26" i="6"/>
  <c r="AZ27" i="6" s="1"/>
  <c r="W11" i="5"/>
  <c r="AG24" i="3"/>
  <c r="BF24" i="3"/>
  <c r="AM23" i="3"/>
  <c r="BD23" i="3"/>
  <c r="AZ23" i="4"/>
  <c r="AG28" i="7"/>
  <c r="AH29" i="7" s="1"/>
  <c r="AZ22" i="3"/>
  <c r="AZ22" i="7"/>
  <c r="BV58" i="3"/>
  <c r="AC11" i="3"/>
  <c r="AM19" i="3"/>
  <c r="D6" i="9" a="1"/>
  <c r="D6" i="9" s="1"/>
  <c r="AJ58" i="3"/>
  <c r="BV58" i="5"/>
  <c r="AC11" i="5"/>
  <c r="AZ23" i="3"/>
  <c r="AZ25" i="6"/>
  <c r="AH23" i="5"/>
  <c r="AH22" i="4"/>
  <c r="AH25" i="3"/>
  <c r="AG29" i="7"/>
  <c r="AM19" i="4"/>
  <c r="AJ58" i="4"/>
  <c r="AL58" i="4" s="1"/>
  <c r="W11" i="4" s="1"/>
  <c r="AZ24" i="4"/>
  <c r="BA27" i="6"/>
  <c r="BA22" i="5"/>
  <c r="AZ23" i="5"/>
  <c r="BA20" i="5"/>
  <c r="AZ22" i="5"/>
  <c r="BC19" i="3"/>
  <c r="AS58" i="3"/>
  <c r="BA23" i="7"/>
  <c r="AZ25" i="7"/>
  <c r="AG23" i="4"/>
  <c r="AG23" i="6"/>
  <c r="AH24" i="6"/>
  <c r="AZ23" i="7"/>
  <c r="AZ24" i="7" s="1"/>
  <c r="BA25" i="7" s="1"/>
  <c r="AH23" i="6"/>
  <c r="AG23" i="5"/>
  <c r="AH24" i="3"/>
  <c r="AG25" i="3"/>
  <c r="BA25" i="6"/>
  <c r="BA23" i="4"/>
  <c r="AZ24" i="3"/>
  <c r="AH21" i="4"/>
  <c r="AG22" i="4"/>
  <c r="BF46" i="6"/>
  <c r="AM45" i="6"/>
  <c r="BD45" i="6"/>
  <c r="AZ21" i="5"/>
  <c r="BF26" i="4"/>
  <c r="AM25" i="4"/>
  <c r="BD25" i="4"/>
  <c r="BA22" i="3"/>
  <c r="BA22" i="4"/>
  <c r="AZ28" i="6" l="1"/>
  <c r="AZ29" i="6" s="1"/>
  <c r="AZ30" i="6" s="1"/>
  <c r="BA31" i="6" s="1"/>
  <c r="BA28" i="6"/>
  <c r="AG28" i="3"/>
  <c r="AH29" i="3" s="1"/>
  <c r="AG29" i="3"/>
  <c r="AH27" i="3"/>
  <c r="AH24" i="5"/>
  <c r="AG24" i="5"/>
  <c r="AG27" i="3"/>
  <c r="AZ25" i="4"/>
  <c r="BA26" i="3"/>
  <c r="AH24" i="4"/>
  <c r="AA9" i="8" a="1"/>
  <c r="AA9" i="8" s="1"/>
  <c r="AL58" i="3"/>
  <c r="AG26" i="3"/>
  <c r="AH28" i="3"/>
  <c r="BF47" i="6"/>
  <c r="AM46" i="6"/>
  <c r="BD46" i="6"/>
  <c r="AZ26" i="7"/>
  <c r="BD19" i="3"/>
  <c r="E6" i="9" a="1"/>
  <c r="E6" i="9" s="1"/>
  <c r="BC58" i="3"/>
  <c r="AA13" i="8" s="1" a="1"/>
  <c r="AA13" i="8" s="1"/>
  <c r="AH25" i="5"/>
  <c r="BA26" i="4"/>
  <c r="BF25" i="3"/>
  <c r="AM24" i="3"/>
  <c r="BD24" i="3"/>
  <c r="BA29" i="6"/>
  <c r="BA26" i="6"/>
  <c r="BA23" i="5"/>
  <c r="AZ25" i="3"/>
  <c r="BA25" i="3"/>
  <c r="AG24" i="6"/>
  <c r="BA26" i="7"/>
  <c r="AH30" i="7"/>
  <c r="AG30" i="7"/>
  <c r="BF27" i="4"/>
  <c r="AM26" i="4"/>
  <c r="BD26" i="4"/>
  <c r="BA23" i="3"/>
  <c r="BA24" i="3"/>
  <c r="AZ24" i="5"/>
  <c r="AG24" i="4"/>
  <c r="AH23" i="4"/>
  <c r="BA24" i="7"/>
  <c r="BA24" i="5"/>
  <c r="AZ31" i="6"/>
  <c r="AZ32" i="6" s="1"/>
  <c r="BA33" i="6" s="1"/>
  <c r="AH26" i="3"/>
  <c r="BA25" i="4"/>
  <c r="BA30" i="6"/>
  <c r="BF26" i="3" l="1"/>
  <c r="AM25" i="3"/>
  <c r="BD25" i="3"/>
  <c r="BF48" i="6"/>
  <c r="AM47" i="6"/>
  <c r="BD47" i="6"/>
  <c r="AH31" i="7"/>
  <c r="AG31" i="7"/>
  <c r="AG25" i="5"/>
  <c r="AG26" i="5"/>
  <c r="AZ25" i="5"/>
  <c r="AG25" i="6"/>
  <c r="AH25" i="6"/>
  <c r="AG30" i="3"/>
  <c r="AH25" i="4"/>
  <c r="AZ27" i="3"/>
  <c r="AZ26" i="3"/>
  <c r="AZ26" i="4"/>
  <c r="AG25" i="4"/>
  <c r="BA32" i="6"/>
  <c r="BA26" i="5"/>
  <c r="BF28" i="4"/>
  <c r="AM27" i="4"/>
  <c r="BD27" i="4"/>
  <c r="BA25" i="5"/>
  <c r="BA27" i="7"/>
  <c r="AZ27" i="7"/>
  <c r="AH30" i="3"/>
  <c r="W11" i="3"/>
  <c r="AZ33" i="6"/>
  <c r="AH28" i="5" l="1"/>
  <c r="AH26" i="4"/>
  <c r="AH26" i="5"/>
  <c r="BF27" i="3"/>
  <c r="AM26" i="3"/>
  <c r="BD26" i="3"/>
  <c r="AZ34" i="6"/>
  <c r="BA34" i="6"/>
  <c r="AG26" i="4"/>
  <c r="BF29" i="4"/>
  <c r="AM28" i="4"/>
  <c r="BD28" i="4"/>
  <c r="AG31" i="3"/>
  <c r="AH32" i="3" s="1"/>
  <c r="AG32" i="3"/>
  <c r="AG26" i="6"/>
  <c r="AH26" i="6"/>
  <c r="AH27" i="5"/>
  <c r="AG27" i="5"/>
  <c r="AG28" i="5" s="1"/>
  <c r="AH31" i="3"/>
  <c r="AZ28" i="7"/>
  <c r="BA28" i="7"/>
  <c r="BA27" i="3"/>
  <c r="BA27" i="4"/>
  <c r="AZ27" i="4"/>
  <c r="AZ28" i="3"/>
  <c r="BA28" i="3"/>
  <c r="AZ26" i="5"/>
  <c r="BF49" i="6"/>
  <c r="AM48" i="6"/>
  <c r="BD48" i="6"/>
  <c r="AG32" i="7"/>
  <c r="AH32" i="7"/>
  <c r="BF50" i="6" l="1"/>
  <c r="AM49" i="6"/>
  <c r="BD49" i="6"/>
  <c r="AH33" i="3"/>
  <c r="AG33" i="3"/>
  <c r="AZ29" i="7"/>
  <c r="BA29" i="7"/>
  <c r="AH27" i="4"/>
  <c r="AG27" i="4"/>
  <c r="AG33" i="7"/>
  <c r="AH33" i="7"/>
  <c r="AZ27" i="5"/>
  <c r="BA27" i="5"/>
  <c r="AZ29" i="3"/>
  <c r="BA29" i="3"/>
  <c r="BA28" i="4"/>
  <c r="AZ28" i="4"/>
  <c r="AG29" i="5"/>
  <c r="AH29" i="5"/>
  <c r="AG27" i="6"/>
  <c r="AH27" i="6"/>
  <c r="BF30" i="4"/>
  <c r="AM29" i="4"/>
  <c r="BD29" i="4"/>
  <c r="AZ35" i="6"/>
  <c r="BA35" i="6"/>
  <c r="BF28" i="3"/>
  <c r="AM27" i="3"/>
  <c r="BD27" i="3"/>
  <c r="BF31" i="4" l="1"/>
  <c r="AM30" i="4"/>
  <c r="BD30" i="4"/>
  <c r="BA30" i="7"/>
  <c r="AZ30" i="7"/>
  <c r="BF29" i="3"/>
  <c r="AM28" i="3"/>
  <c r="BD28" i="3"/>
  <c r="AH34" i="3"/>
  <c r="AG34" i="3"/>
  <c r="AG28" i="6"/>
  <c r="AH28" i="6"/>
  <c r="AZ36" i="6"/>
  <c r="BA36" i="6"/>
  <c r="AH30" i="5"/>
  <c r="AG30" i="5"/>
  <c r="AZ28" i="5"/>
  <c r="BA28" i="5"/>
  <c r="AG34" i="7"/>
  <c r="AH34" i="7"/>
  <c r="AZ30" i="3"/>
  <c r="BA30" i="3"/>
  <c r="AZ29" i="4"/>
  <c r="BA29" i="4"/>
  <c r="AH28" i="4"/>
  <c r="AG28" i="4"/>
  <c r="BF51" i="6"/>
  <c r="AM50" i="6"/>
  <c r="BD50" i="6"/>
  <c r="AH35" i="7" l="1"/>
  <c r="AG35" i="7"/>
  <c r="BF30" i="3"/>
  <c r="AM29" i="3"/>
  <c r="BD29" i="3"/>
  <c r="BF52" i="6"/>
  <c r="AM51" i="6"/>
  <c r="BD51" i="6"/>
  <c r="AG29" i="4"/>
  <c r="AH29" i="4"/>
  <c r="AZ37" i="6"/>
  <c r="BA37" i="6"/>
  <c r="BA31" i="7"/>
  <c r="AZ31" i="7"/>
  <c r="BA30" i="4"/>
  <c r="AZ30" i="4"/>
  <c r="AG29" i="6"/>
  <c r="AH29" i="6"/>
  <c r="BA29" i="5"/>
  <c r="AZ29" i="5"/>
  <c r="AG35" i="3"/>
  <c r="AH35" i="3"/>
  <c r="AZ31" i="3"/>
  <c r="BA31" i="3"/>
  <c r="AH31" i="5"/>
  <c r="AG31" i="5"/>
  <c r="BF32" i="4"/>
  <c r="AM31" i="4"/>
  <c r="BD31" i="4"/>
  <c r="AG30" i="6" l="1"/>
  <c r="AH30" i="6"/>
  <c r="BA31" i="4"/>
  <c r="AZ31" i="4"/>
  <c r="BA32" i="3"/>
  <c r="AZ32" i="3"/>
  <c r="BA32" i="7"/>
  <c r="AZ32" i="7"/>
  <c r="BF53" i="6"/>
  <c r="AM52" i="6"/>
  <c r="BD52" i="6"/>
  <c r="BF31" i="3"/>
  <c r="AM30" i="3"/>
  <c r="BD30" i="3"/>
  <c r="AG36" i="3"/>
  <c r="AH36" i="3"/>
  <c r="BA30" i="5"/>
  <c r="AZ30" i="5"/>
  <c r="BF33" i="4"/>
  <c r="AM32" i="4"/>
  <c r="BD32" i="4"/>
  <c r="AZ38" i="6"/>
  <c r="BA38" i="6"/>
  <c r="AH32" i="5"/>
  <c r="AG32" i="5"/>
  <c r="AG36" i="7"/>
  <c r="AH36" i="7"/>
  <c r="AG30" i="4"/>
  <c r="AH30" i="4"/>
  <c r="AZ33" i="7" l="1"/>
  <c r="BA33" i="7"/>
  <c r="AG37" i="3"/>
  <c r="AH37" i="3"/>
  <c r="AZ39" i="6"/>
  <c r="BA39" i="6"/>
  <c r="BA33" i="3"/>
  <c r="AZ33" i="3"/>
  <c r="AG31" i="4"/>
  <c r="AH31" i="4"/>
  <c r="AZ32" i="4"/>
  <c r="BA32" i="4"/>
  <c r="BF34" i="4"/>
  <c r="AM33" i="4"/>
  <c r="BD33" i="4"/>
  <c r="BA31" i="5"/>
  <c r="AZ31" i="5"/>
  <c r="BF32" i="3"/>
  <c r="AM31" i="3"/>
  <c r="BD31" i="3"/>
  <c r="AG37" i="7"/>
  <c r="AH37" i="7"/>
  <c r="AG33" i="5"/>
  <c r="AH33" i="5"/>
  <c r="BF54" i="6"/>
  <c r="AM53" i="6"/>
  <c r="BD53" i="6"/>
  <c r="AG31" i="6"/>
  <c r="AH31" i="6"/>
  <c r="AZ34" i="3" l="1"/>
  <c r="BA34" i="3"/>
  <c r="AH34" i="5"/>
  <c r="AG34" i="5"/>
  <c r="BA33" i="4"/>
  <c r="AZ33" i="4"/>
  <c r="AH38" i="3"/>
  <c r="AG38" i="3"/>
  <c r="BF33" i="3"/>
  <c r="AM32" i="3"/>
  <c r="BD32" i="3"/>
  <c r="AH38" i="7"/>
  <c r="AG38" i="7"/>
  <c r="BF35" i="4"/>
  <c r="AM34" i="4"/>
  <c r="BD34" i="4"/>
  <c r="BA40" i="6"/>
  <c r="AZ40" i="6"/>
  <c r="AG32" i="6"/>
  <c r="AH32" i="6"/>
  <c r="BF55" i="6"/>
  <c r="AM54" i="6"/>
  <c r="BD54" i="6"/>
  <c r="AZ32" i="5"/>
  <c r="BA32" i="5"/>
  <c r="AG32" i="4"/>
  <c r="AH32" i="4"/>
  <c r="BA34" i="7"/>
  <c r="AZ34" i="7"/>
  <c r="BA33" i="5" l="1"/>
  <c r="AZ33" i="5"/>
  <c r="BF36" i="4"/>
  <c r="AM35" i="4"/>
  <c r="BD35" i="4"/>
  <c r="BA35" i="7"/>
  <c r="AZ35" i="7"/>
  <c r="BF56" i="6"/>
  <c r="AM55" i="6"/>
  <c r="BD55" i="6"/>
  <c r="AH35" i="5"/>
  <c r="AG35" i="5"/>
  <c r="AG33" i="6"/>
  <c r="AH33" i="6"/>
  <c r="AH33" i="4"/>
  <c r="AG33" i="4"/>
  <c r="BA41" i="6"/>
  <c r="AZ41" i="6"/>
  <c r="AH39" i="3"/>
  <c r="AG39" i="3"/>
  <c r="BA34" i="4"/>
  <c r="AZ34" i="4"/>
  <c r="AH39" i="7"/>
  <c r="AG39" i="7"/>
  <c r="BF34" i="3"/>
  <c r="AM33" i="3"/>
  <c r="BD33" i="3"/>
  <c r="AZ35" i="3"/>
  <c r="BA35" i="3"/>
  <c r="AG34" i="4" l="1"/>
  <c r="AH34" i="4"/>
  <c r="AM56" i="6"/>
  <c r="AM58" i="6" s="1"/>
  <c r="BD56" i="6"/>
  <c r="BD58" i="6" s="1"/>
  <c r="AG40" i="7"/>
  <c r="AH40" i="7"/>
  <c r="AZ36" i="7"/>
  <c r="BA36" i="7"/>
  <c r="AG36" i="5"/>
  <c r="AH36" i="5"/>
  <c r="BF37" i="4"/>
  <c r="AM36" i="4"/>
  <c r="BD36" i="4"/>
  <c r="AZ36" i="3"/>
  <c r="BA36" i="3"/>
  <c r="AZ34" i="5"/>
  <c r="BA34" i="5"/>
  <c r="BA35" i="4"/>
  <c r="AZ35" i="4"/>
  <c r="AH34" i="6"/>
  <c r="AG34" i="6"/>
  <c r="AG40" i="3"/>
  <c r="AH40" i="3"/>
  <c r="AZ42" i="6"/>
  <c r="BA42" i="6"/>
  <c r="BF35" i="3"/>
  <c r="AM34" i="3"/>
  <c r="BD34" i="3"/>
  <c r="AZ35" i="5" l="1"/>
  <c r="BA35" i="5"/>
  <c r="BA37" i="7"/>
  <c r="AZ37" i="7"/>
  <c r="BA43" i="6"/>
  <c r="AZ43" i="6"/>
  <c r="AG41" i="3"/>
  <c r="AH41" i="3"/>
  <c r="AH35" i="6"/>
  <c r="AG35" i="6"/>
  <c r="BF38" i="4"/>
  <c r="AM37" i="4"/>
  <c r="BD37" i="4"/>
  <c r="BA37" i="3"/>
  <c r="AZ37" i="3"/>
  <c r="AH41" i="7"/>
  <c r="AG41" i="7"/>
  <c r="AZ36" i="4"/>
  <c r="BA36" i="4"/>
  <c r="X11" i="6"/>
  <c r="Y11" i="6" s="1"/>
  <c r="BF36" i="3"/>
  <c r="AM35" i="3"/>
  <c r="BD35" i="3"/>
  <c r="AG37" i="5"/>
  <c r="AH37" i="5"/>
  <c r="AH35" i="4"/>
  <c r="AG35" i="4"/>
  <c r="AG38" i="5" l="1"/>
  <c r="AH38" i="5"/>
  <c r="AG42" i="3"/>
  <c r="AH42" i="3"/>
  <c r="AZ44" i="6"/>
  <c r="BA44" i="6"/>
  <c r="BF37" i="3"/>
  <c r="AM36" i="3"/>
  <c r="BD36" i="3"/>
  <c r="BA38" i="7"/>
  <c r="AZ38" i="7"/>
  <c r="BF39" i="4"/>
  <c r="AM38" i="4"/>
  <c r="BD38" i="4"/>
  <c r="AH36" i="6"/>
  <c r="AG36" i="6"/>
  <c r="AZ38" i="3"/>
  <c r="BA38" i="3"/>
  <c r="AH36" i="4"/>
  <c r="AG36" i="4"/>
  <c r="BA37" i="4"/>
  <c r="AZ37" i="4"/>
  <c r="AH42" i="7"/>
  <c r="AG42" i="7"/>
  <c r="BA36" i="5"/>
  <c r="AZ36" i="5"/>
  <c r="AG43" i="7" l="1"/>
  <c r="AH43" i="7"/>
  <c r="AG37" i="4"/>
  <c r="AH37" i="4"/>
  <c r="BF40" i="4"/>
  <c r="AM39" i="4"/>
  <c r="BD39" i="4"/>
  <c r="BA39" i="7"/>
  <c r="AZ39" i="7"/>
  <c r="AH43" i="3"/>
  <c r="AG43" i="3"/>
  <c r="BF38" i="3"/>
  <c r="AM37" i="3"/>
  <c r="BD37" i="3"/>
  <c r="BA38" i="4"/>
  <c r="AZ38" i="4"/>
  <c r="AZ45" i="6"/>
  <c r="BA45" i="6"/>
  <c r="AZ37" i="5"/>
  <c r="BA37" i="5"/>
  <c r="AG37" i="6"/>
  <c r="AH37" i="6"/>
  <c r="AZ39" i="3"/>
  <c r="BA39" i="3"/>
  <c r="AG39" i="5"/>
  <c r="AH39" i="5"/>
  <c r="AZ39" i="4" l="1"/>
  <c r="BA39" i="4"/>
  <c r="AZ40" i="3"/>
  <c r="BA40" i="3"/>
  <c r="BF39" i="3"/>
  <c r="AM38" i="3"/>
  <c r="BD38" i="3"/>
  <c r="AG44" i="3"/>
  <c r="AH44" i="3"/>
  <c r="AH38" i="4"/>
  <c r="AG38" i="4"/>
  <c r="AG38" i="6"/>
  <c r="AH38" i="6"/>
  <c r="BF41" i="4"/>
  <c r="AM40" i="4"/>
  <c r="BD40" i="4"/>
  <c r="BA38" i="5"/>
  <c r="AZ38" i="5"/>
  <c r="AG40" i="5"/>
  <c r="AH40" i="5"/>
  <c r="BA46" i="6"/>
  <c r="AZ46" i="6"/>
  <c r="BA40" i="7"/>
  <c r="AZ40" i="7"/>
  <c r="AG44" i="7"/>
  <c r="AH44" i="7"/>
  <c r="BA41" i="7" l="1"/>
  <c r="AZ41" i="7"/>
  <c r="AG45" i="3"/>
  <c r="AH45" i="3"/>
  <c r="BF42" i="4"/>
  <c r="AM41" i="4"/>
  <c r="BD41" i="4"/>
  <c r="BF40" i="3"/>
  <c r="AM39" i="3"/>
  <c r="BD39" i="3"/>
  <c r="AH41" i="5"/>
  <c r="AG41" i="5"/>
  <c r="BA41" i="3"/>
  <c r="AZ41" i="3"/>
  <c r="AZ39" i="5"/>
  <c r="BA39" i="5"/>
  <c r="AZ47" i="6"/>
  <c r="BA47" i="6"/>
  <c r="AG39" i="6"/>
  <c r="AH39" i="6"/>
  <c r="AG39" i="4"/>
  <c r="AH39" i="4"/>
  <c r="AG45" i="7"/>
  <c r="AH45" i="7"/>
  <c r="BA40" i="4"/>
  <c r="AZ40" i="4"/>
  <c r="BF41" i="3" l="1"/>
  <c r="AM40" i="3"/>
  <c r="BD40" i="3"/>
  <c r="AZ40" i="5"/>
  <c r="BA40" i="5"/>
  <c r="BA42" i="3"/>
  <c r="AZ42" i="3"/>
  <c r="AH46" i="7"/>
  <c r="AG46" i="7"/>
  <c r="AG40" i="4"/>
  <c r="AH40" i="4"/>
  <c r="AH42" i="5"/>
  <c r="AG42" i="5"/>
  <c r="BA42" i="7"/>
  <c r="AZ42" i="7"/>
  <c r="BF43" i="4"/>
  <c r="AM42" i="4"/>
  <c r="BD42" i="4"/>
  <c r="AG40" i="6"/>
  <c r="AH40" i="6"/>
  <c r="AG46" i="3"/>
  <c r="AH46" i="3"/>
  <c r="AZ41" i="4"/>
  <c r="BA41" i="4"/>
  <c r="AZ48" i="6"/>
  <c r="BA48" i="6"/>
  <c r="AH43" i="5" l="1"/>
  <c r="AG43" i="5"/>
  <c r="BF44" i="4"/>
  <c r="AM43" i="4"/>
  <c r="BD43" i="4"/>
  <c r="AZ42" i="4"/>
  <c r="BA42" i="4"/>
  <c r="BA43" i="7"/>
  <c r="AZ43" i="7"/>
  <c r="BA43" i="3"/>
  <c r="AZ43" i="3"/>
  <c r="AH47" i="3"/>
  <c r="AG47" i="3"/>
  <c r="AZ41" i="5"/>
  <c r="BA41" i="5"/>
  <c r="AH41" i="6"/>
  <c r="AG41" i="6"/>
  <c r="AH41" i="4"/>
  <c r="AG41" i="4"/>
  <c r="AZ49" i="6"/>
  <c r="BA49" i="6"/>
  <c r="AH47" i="7"/>
  <c r="AG47" i="7"/>
  <c r="BF42" i="3"/>
  <c r="AM41" i="3"/>
  <c r="BD41" i="3"/>
  <c r="AG48" i="7" l="1"/>
  <c r="AH48" i="7"/>
  <c r="BF43" i="3"/>
  <c r="AM42" i="3"/>
  <c r="BD42" i="3"/>
  <c r="BA42" i="5"/>
  <c r="AZ42" i="5"/>
  <c r="AH48" i="3"/>
  <c r="AG48" i="3"/>
  <c r="BA44" i="3"/>
  <c r="AZ44" i="3"/>
  <c r="BF45" i="4"/>
  <c r="AM44" i="4"/>
  <c r="BD44" i="4"/>
  <c r="BA43" i="4"/>
  <c r="AZ43" i="4"/>
  <c r="AZ50" i="6"/>
  <c r="BA50" i="6"/>
  <c r="AG42" i="4"/>
  <c r="AH42" i="4"/>
  <c r="AH44" i="5"/>
  <c r="AG44" i="5"/>
  <c r="AG42" i="6"/>
  <c r="AH42" i="6"/>
  <c r="BA44" i="7"/>
  <c r="AZ44" i="7"/>
  <c r="AG43" i="6" l="1"/>
  <c r="AH43" i="6"/>
  <c r="BF46" i="4"/>
  <c r="AM45" i="4"/>
  <c r="BD45" i="4"/>
  <c r="BA43" i="5"/>
  <c r="AZ43" i="5"/>
  <c r="AG45" i="5"/>
  <c r="AH45" i="5"/>
  <c r="AH43" i="4"/>
  <c r="AG43" i="4"/>
  <c r="BA45" i="3"/>
  <c r="AZ45" i="3"/>
  <c r="BF44" i="3"/>
  <c r="AM43" i="3"/>
  <c r="BD43" i="3"/>
  <c r="AZ44" i="4"/>
  <c r="BA44" i="4"/>
  <c r="BA45" i="7"/>
  <c r="AZ45" i="7"/>
  <c r="AZ51" i="6"/>
  <c r="BA51" i="6"/>
  <c r="AH49" i="3"/>
  <c r="AG49" i="3"/>
  <c r="AH49" i="7"/>
  <c r="AG49" i="7"/>
  <c r="BA46" i="3" l="1"/>
  <c r="AZ46" i="3"/>
  <c r="AG44" i="4"/>
  <c r="AH44" i="4"/>
  <c r="AH50" i="7"/>
  <c r="AG50" i="7"/>
  <c r="AH50" i="3"/>
  <c r="AG50" i="3"/>
  <c r="AG46" i="5"/>
  <c r="AH46" i="5"/>
  <c r="BA44" i="5"/>
  <c r="AZ44" i="5"/>
  <c r="BF45" i="3"/>
  <c r="AM44" i="3"/>
  <c r="BD44" i="3"/>
  <c r="AZ52" i="6"/>
  <c r="BA52" i="6"/>
  <c r="BA46" i="7"/>
  <c r="AZ46" i="7"/>
  <c r="BF47" i="4"/>
  <c r="AM46" i="4"/>
  <c r="BD46" i="4"/>
  <c r="BA45" i="4"/>
  <c r="AZ45" i="4"/>
  <c r="AG44" i="6"/>
  <c r="AH44" i="6"/>
  <c r="AZ46" i="4" l="1"/>
  <c r="BA46" i="4"/>
  <c r="AH51" i="3"/>
  <c r="AG51" i="3"/>
  <c r="AG51" i="7"/>
  <c r="AH51" i="7"/>
  <c r="BF48" i="4"/>
  <c r="AM47" i="4"/>
  <c r="BD47" i="4"/>
  <c r="AZ47" i="3"/>
  <c r="BA47" i="3"/>
  <c r="BA53" i="6"/>
  <c r="AZ53" i="6"/>
  <c r="BF46" i="3"/>
  <c r="AM45" i="3"/>
  <c r="BD45" i="3"/>
  <c r="AZ45" i="5"/>
  <c r="BA45" i="5"/>
  <c r="BA47" i="7"/>
  <c r="AZ47" i="7"/>
  <c r="AH45" i="4"/>
  <c r="AG45" i="4"/>
  <c r="AG45" i="6"/>
  <c r="AH45" i="6"/>
  <c r="AG47" i="5"/>
  <c r="AH47" i="5"/>
  <c r="AH46" i="6" l="1"/>
  <c r="AG46" i="6"/>
  <c r="BF49" i="4"/>
  <c r="AM48" i="4"/>
  <c r="BD48" i="4"/>
  <c r="BA54" i="6"/>
  <c r="AZ54" i="6"/>
  <c r="AZ48" i="7"/>
  <c r="BA48" i="7"/>
  <c r="AH52" i="3"/>
  <c r="AG52" i="3"/>
  <c r="BA48" i="3"/>
  <c r="AZ48" i="3"/>
  <c r="AH46" i="4"/>
  <c r="AG46" i="4"/>
  <c r="BF47" i="3"/>
  <c r="AM46" i="3"/>
  <c r="BD46" i="3"/>
  <c r="AH52" i="7"/>
  <c r="AG52" i="7"/>
  <c r="AH48" i="5"/>
  <c r="AG48" i="5"/>
  <c r="BA46" i="5"/>
  <c r="AZ46" i="5"/>
  <c r="BA47" i="4"/>
  <c r="AZ47" i="4"/>
  <c r="AZ47" i="5" l="1"/>
  <c r="BA47" i="5"/>
  <c r="BF48" i="3"/>
  <c r="AM47" i="3"/>
  <c r="BD47" i="3"/>
  <c r="AH47" i="4"/>
  <c r="AG47" i="4"/>
  <c r="BA55" i="6"/>
  <c r="AZ55" i="6"/>
  <c r="AH49" i="5"/>
  <c r="AG49" i="5"/>
  <c r="BA49" i="3"/>
  <c r="AZ49" i="3"/>
  <c r="BF50" i="4"/>
  <c r="AM49" i="4"/>
  <c r="BD49" i="4"/>
  <c r="BA49" i="7"/>
  <c r="AZ49" i="7"/>
  <c r="AG53" i="7"/>
  <c r="AH53" i="7"/>
  <c r="AG53" i="3"/>
  <c r="AH53" i="3"/>
  <c r="AZ48" i="4"/>
  <c r="BA48" i="4"/>
  <c r="AH47" i="6"/>
  <c r="AG47" i="6"/>
  <c r="AZ49" i="4" l="1"/>
  <c r="BA49" i="4"/>
  <c r="AH48" i="4"/>
  <c r="AG48" i="4"/>
  <c r="BF51" i="4"/>
  <c r="AM50" i="4"/>
  <c r="BD50" i="4"/>
  <c r="AH54" i="3"/>
  <c r="AG54" i="3"/>
  <c r="AZ50" i="3"/>
  <c r="BA50" i="3"/>
  <c r="AG54" i="7"/>
  <c r="AH54" i="7"/>
  <c r="AH50" i="5"/>
  <c r="AG50" i="5"/>
  <c r="BF49" i="3"/>
  <c r="AM48" i="3"/>
  <c r="BD48" i="3"/>
  <c r="AG48" i="6"/>
  <c r="AH48" i="6"/>
  <c r="BA50" i="7"/>
  <c r="AZ50" i="7"/>
  <c r="BA56" i="6"/>
  <c r="BA58" i="6" s="1"/>
  <c r="AZ56" i="6"/>
  <c r="AZ58" i="6" s="1"/>
  <c r="BA48" i="5"/>
  <c r="AZ48" i="5"/>
  <c r="AH51" i="5" l="1"/>
  <c r="AG51" i="5"/>
  <c r="BA51" i="7"/>
  <c r="AZ51" i="7"/>
  <c r="BF52" i="4"/>
  <c r="AM51" i="4"/>
  <c r="BD51" i="4"/>
  <c r="AG55" i="7"/>
  <c r="AH55" i="7"/>
  <c r="AG49" i="4"/>
  <c r="AH49" i="4"/>
  <c r="AH49" i="6"/>
  <c r="AG49" i="6"/>
  <c r="BF50" i="3"/>
  <c r="AM49" i="3"/>
  <c r="BD49" i="3"/>
  <c r="AZ49" i="5"/>
  <c r="BA49" i="5"/>
  <c r="BA51" i="3"/>
  <c r="AZ51" i="3"/>
  <c r="AG55" i="3"/>
  <c r="AH55" i="3"/>
  <c r="BA50" i="4"/>
  <c r="AZ50" i="4"/>
  <c r="AZ51" i="4" l="1"/>
  <c r="BA51" i="4"/>
  <c r="AH56" i="7"/>
  <c r="AH58" i="7" s="1"/>
  <c r="AG56" i="7"/>
  <c r="AG58" i="7" s="1"/>
  <c r="BF51" i="3"/>
  <c r="AM50" i="3"/>
  <c r="BD50" i="3"/>
  <c r="AG56" i="3"/>
  <c r="AG58" i="3" s="1"/>
  <c r="AH56" i="3"/>
  <c r="AH58" i="3" s="1"/>
  <c r="AH50" i="6"/>
  <c r="AG50" i="6"/>
  <c r="BF53" i="4"/>
  <c r="AM52" i="4"/>
  <c r="BD52" i="4"/>
  <c r="BA52" i="3"/>
  <c r="AZ52" i="3"/>
  <c r="BA52" i="7"/>
  <c r="AZ52" i="7"/>
  <c r="AH50" i="4"/>
  <c r="AG50" i="4"/>
  <c r="AG52" i="5"/>
  <c r="AH52" i="5"/>
  <c r="BA50" i="5"/>
  <c r="AZ50" i="5"/>
  <c r="AZ53" i="3" l="1"/>
  <c r="BA53" i="3"/>
  <c r="AZ51" i="5"/>
  <c r="BA51" i="5"/>
  <c r="BF52" i="3"/>
  <c r="AM51" i="3"/>
  <c r="BD51" i="3"/>
  <c r="BF54" i="4"/>
  <c r="AM53" i="4"/>
  <c r="BD53" i="4"/>
  <c r="AG51" i="6"/>
  <c r="AH51" i="6"/>
  <c r="AG53" i="5"/>
  <c r="AH53" i="5"/>
  <c r="AG51" i="4"/>
  <c r="AH51" i="4"/>
  <c r="AZ53" i="7"/>
  <c r="BA53" i="7"/>
  <c r="AZ52" i="4"/>
  <c r="BA52" i="4"/>
  <c r="BF55" i="4" l="1"/>
  <c r="AM54" i="4"/>
  <c r="BD54" i="4"/>
  <c r="AG54" i="5"/>
  <c r="AH54" i="5"/>
  <c r="AH52" i="4"/>
  <c r="AG52" i="4"/>
  <c r="AG52" i="6"/>
  <c r="AH52" i="6"/>
  <c r="AZ52" i="5"/>
  <c r="BA52" i="5"/>
  <c r="BF53" i="3"/>
  <c r="AM52" i="3"/>
  <c r="BD52" i="3"/>
  <c r="BA53" i="4"/>
  <c r="AZ53" i="4"/>
  <c r="BA54" i="7"/>
  <c r="AZ54" i="7"/>
  <c r="AZ54" i="3"/>
  <c r="BA54" i="3"/>
  <c r="BA54" i="4" l="1"/>
  <c r="AZ54" i="4"/>
  <c r="AH53" i="6"/>
  <c r="AG53" i="6"/>
  <c r="AH55" i="5"/>
  <c r="AG55" i="5"/>
  <c r="AH53" i="4"/>
  <c r="AG53" i="4"/>
  <c r="BF54" i="3"/>
  <c r="AM53" i="3"/>
  <c r="BD53" i="3"/>
  <c r="AZ55" i="3"/>
  <c r="BA55" i="3"/>
  <c r="BA55" i="7"/>
  <c r="AZ55" i="7"/>
  <c r="AZ53" i="5"/>
  <c r="BA53" i="5"/>
  <c r="BF56" i="4"/>
  <c r="AM55" i="4"/>
  <c r="BD55" i="4"/>
  <c r="AH54" i="4" l="1"/>
  <c r="AG54" i="4"/>
  <c r="BA56" i="7"/>
  <c r="BA58" i="7" s="1"/>
  <c r="AZ56" i="7"/>
  <c r="AZ58" i="7" s="1"/>
  <c r="AG56" i="5"/>
  <c r="AG58" i="5" s="1"/>
  <c r="AH56" i="5"/>
  <c r="AH58" i="5" s="1"/>
  <c r="AZ54" i="5"/>
  <c r="BA54" i="5"/>
  <c r="BA56" i="3"/>
  <c r="BA58" i="3" s="1"/>
  <c r="AZ56" i="3"/>
  <c r="AZ58" i="3" s="1"/>
  <c r="AM56" i="4"/>
  <c r="AM58" i="4" s="1"/>
  <c r="BD56" i="4"/>
  <c r="BD58" i="4" s="1"/>
  <c r="BA55" i="4"/>
  <c r="AZ55" i="4"/>
  <c r="AG54" i="6"/>
  <c r="AH54" i="6"/>
  <c r="BF55" i="3"/>
  <c r="AM54" i="3"/>
  <c r="BD54" i="3"/>
  <c r="AH55" i="6" l="1"/>
  <c r="AG55" i="6"/>
  <c r="X11" i="4"/>
  <c r="Y11" i="4" s="1"/>
  <c r="AH55" i="4"/>
  <c r="AG55" i="4"/>
  <c r="AZ55" i="5"/>
  <c r="BA55" i="5"/>
  <c r="AZ56" i="4"/>
  <c r="AZ58" i="4" s="1"/>
  <c r="BA56" i="4"/>
  <c r="BA58" i="4" s="1"/>
  <c r="BF56" i="3"/>
  <c r="AM55" i="3"/>
  <c r="BD55" i="3"/>
  <c r="BA56" i="5" l="1"/>
  <c r="BA58" i="5" s="1"/>
  <c r="AZ56" i="5"/>
  <c r="AZ58" i="5" s="1"/>
  <c r="AG56" i="4"/>
  <c r="AG58" i="4" s="1"/>
  <c r="AH56" i="4"/>
  <c r="AH58" i="4" s="1"/>
  <c r="AM56" i="3"/>
  <c r="AM58" i="3" s="1"/>
  <c r="BD56" i="3"/>
  <c r="BD58" i="3" s="1"/>
  <c r="AA14" i="8" s="1" a="1"/>
  <c r="AA14" i="8" s="1"/>
  <c r="AH56" i="6"/>
  <c r="AH58" i="6" s="1"/>
  <c r="AG56" i="6"/>
  <c r="AG58" i="6" s="1"/>
  <c r="AA10" i="8" l="1" a="1"/>
  <c r="AA10" i="8" s="1"/>
  <c r="X11" i="3"/>
  <c r="Y11" i="3" s="1"/>
  <c r="AA17" i="8" s="1" a="1"/>
  <c r="AA17" i="8" s="1"/>
</calcChain>
</file>

<file path=xl/sharedStrings.xml><?xml version="1.0" encoding="utf-8"?>
<sst xmlns="http://schemas.openxmlformats.org/spreadsheetml/2006/main" count="2281" uniqueCount="267">
  <si>
    <t>■事業費内訳入力（削減率・物価上昇率込み）</t>
  </si>
  <si>
    <t>※費用は全て消費税抜で入力する</t>
  </si>
  <si>
    <t>PSC</t>
  </si>
  <si>
    <t>削減率（DB/DBO）</t>
  </si>
  <si>
    <t>削減率（BT/BTO/BOO/BOT)）</t>
  </si>
  <si>
    <t>物価上昇率</t>
  </si>
  <si>
    <t>施設整備費</t>
  </si>
  <si>
    <t>百万円</t>
  </si>
  <si>
    <t>過去の落札価格等に基づく積算額</t>
  </si>
  <si>
    <t>予算単価に基づく積算額</t>
  </si>
  <si>
    <t>合計</t>
  </si>
  <si>
    <t>維持管理運営費（年額）</t>
  </si>
  <si>
    <t>人件費</t>
  </si>
  <si>
    <t>修繕費</t>
  </si>
  <si>
    <t>動力費</t>
  </si>
  <si>
    <t>任意入力項目①</t>
  </si>
  <si>
    <t>任意入力項目②</t>
  </si>
  <si>
    <t>内、過去の落札価格等に基づく積算額</t>
  </si>
  <si>
    <t>内、予算単価に基づく積算額</t>
  </si>
  <si>
    <t>加重平均削減率（PFI以外）</t>
  </si>
  <si>
    <t>加重平均削減率（PFI）</t>
  </si>
  <si>
    <t>加重平均物価上昇率</t>
  </si>
  <si>
    <t>施設整備費に係る削減率</t>
  </si>
  <si>
    <t>維持管理運営費に係る削減率</t>
  </si>
  <si>
    <t>入力箇所の説明</t>
  </si>
  <si>
    <t>入力セル（手入力/プルダウンから選択）</t>
  </si>
  <si>
    <t>デフォルト値</t>
  </si>
  <si>
    <t>他セルからの参照（入力不要）</t>
  </si>
  <si>
    <t>■前提条件入力</t>
  </si>
  <si>
    <t>■計算</t>
  </si>
  <si>
    <t>■収支（アウトプット）</t>
  </si>
  <si>
    <t>※収入・費用は全て消費税抜で入力する</t>
  </si>
  <si>
    <t>VFM</t>
  </si>
  <si>
    <t>SPC利回り</t>
  </si>
  <si>
    <t>単位</t>
  </si>
  <si>
    <t>備考</t>
  </si>
  <si>
    <t>収支差額</t>
  </si>
  <si>
    <t>割引・リスク調整加算後</t>
  </si>
  <si>
    <t>％</t>
  </si>
  <si>
    <t>PIRR</t>
  </si>
  <si>
    <t>１．共通条件</t>
  </si>
  <si>
    <t>借入金利以上であることを確認</t>
  </si>
  <si>
    <t>1.1発注者区分</t>
  </si>
  <si>
    <t>市町村</t>
  </si>
  <si>
    <t>国</t>
  </si>
  <si>
    <t>都道府県</t>
  </si>
  <si>
    <t>スケジュール</t>
  </si>
  <si>
    <t>経過年度</t>
  </si>
  <si>
    <t>事業期間</t>
  </si>
  <si>
    <t>リスク調整額</t>
  </si>
  <si>
    <t>PFI-LCC</t>
  </si>
  <si>
    <t>収支</t>
  </si>
  <si>
    <t>SPC</t>
  </si>
  <si>
    <t>借入金元本返済</t>
  </si>
  <si>
    <t>Checks</t>
  </si>
  <si>
    <t>1.2事業方式</t>
  </si>
  <si>
    <t>-</t>
  </si>
  <si>
    <t>DB</t>
  </si>
  <si>
    <t>収入</t>
  </si>
  <si>
    <t>支出</t>
  </si>
  <si>
    <t>（現在価値割引後）</t>
  </si>
  <si>
    <t>割賦収入＞SPC支払</t>
  </si>
  <si>
    <t>補助金</t>
  </si>
  <si>
    <t>交付金</t>
  </si>
  <si>
    <t>起債発行額</t>
  </si>
  <si>
    <t>利用料金
収入</t>
  </si>
  <si>
    <t>収入計</t>
  </si>
  <si>
    <t>施設整備
費用</t>
  </si>
  <si>
    <t>維持管理運営費用</t>
  </si>
  <si>
    <t>モニタリングコスト</t>
  </si>
  <si>
    <t>起債償還額</t>
  </si>
  <si>
    <t>起債利息</t>
  </si>
  <si>
    <t>支出計</t>
  </si>
  <si>
    <t>官民利払費用の差</t>
  </si>
  <si>
    <t>税収</t>
  </si>
  <si>
    <t>施設整備サービス対価（一括払）</t>
  </si>
  <si>
    <t>施設整備サービス対価（割賦元本）</t>
  </si>
  <si>
    <t>施設整備サービス対価（割賦金利）</t>
  </si>
  <si>
    <t>維持管理費
サービス対価</t>
  </si>
  <si>
    <t>その他費用</t>
  </si>
  <si>
    <t>SPC費用</t>
  </si>
  <si>
    <t>割引係数</t>
  </si>
  <si>
    <t>SPC費用
サービス対価</t>
  </si>
  <si>
    <t>施設整備費用</t>
  </si>
  <si>
    <t>維持管理費</t>
  </si>
  <si>
    <t>支払利息</t>
  </si>
  <si>
    <t>SPC経費</t>
  </si>
  <si>
    <t>SPC当初費用
(設立費用・予備費)
費用</t>
  </si>
  <si>
    <t>法人税
・公租公課</t>
  </si>
  <si>
    <t>1.3事業期間</t>
  </si>
  <si>
    <t>整備期間</t>
  </si>
  <si>
    <t>年</t>
  </si>
  <si>
    <t>1.3事業期間（全体）</t>
  </si>
  <si>
    <t>維持管理・運営期間</t>
  </si>
  <si>
    <t>整備期間開始日</t>
  </si>
  <si>
    <t>整備期間終了日</t>
  </si>
  <si>
    <t>維持管理運営期間開始日</t>
  </si>
  <si>
    <t>維持管理運営期間終了日</t>
  </si>
  <si>
    <t>1.4割引率</t>
  </si>
  <si>
    <t>リスクフリーレート</t>
  </si>
  <si>
    <t>20年国債利回り</t>
  </si>
  <si>
    <t>2．事業にかかる費用</t>
  </si>
  <si>
    <t>２．事業にかかる費用</t>
  </si>
  <si>
    <t>2.1施設整備費用</t>
  </si>
  <si>
    <t>2.1 施設整備費用</t>
  </si>
  <si>
    <t>うち、過去の落札価格を反映</t>
  </si>
  <si>
    <t>PSCは競争の効果反映、LCCは削減率を反映</t>
  </si>
  <si>
    <t>うち、PSCの予定価格を反映</t>
  </si>
  <si>
    <t>完工時、一括払</t>
  </si>
  <si>
    <t>施設整備費用の支払内訳</t>
  </si>
  <si>
    <t>完工後、割賦払</t>
  </si>
  <si>
    <t>一括払のみ</t>
  </si>
  <si>
    <t>施設整備費用合計</t>
  </si>
  <si>
    <t>2.2割賦金利（％）</t>
  </si>
  <si>
    <t>基準金利</t>
  </si>
  <si>
    <t>割賦払なし</t>
  </si>
  <si>
    <t>2.2 サービス購入費（完工後支払）割賦金利（％）</t>
  </si>
  <si>
    <t>民間資金調達スプレッド</t>
  </si>
  <si>
    <t>割賦金利</t>
  </si>
  <si>
    <t>スプレッド</t>
  </si>
  <si>
    <t>Checks:割賦＞SPC収支</t>
  </si>
  <si>
    <t>2.3維持管理運営費用（年額）</t>
  </si>
  <si>
    <t>維持管理・運営なし</t>
  </si>
  <si>
    <t>2.3 維持管理運営費用（年額）</t>
  </si>
  <si>
    <t>維持管理運営費用（年額）</t>
  </si>
  <si>
    <t>うち、予定価格を反映</t>
  </si>
  <si>
    <t>利用料金収入</t>
  </si>
  <si>
    <t>サービス購入費から控除</t>
  </si>
  <si>
    <t>2.4モニタリングコスト</t>
  </si>
  <si>
    <t>利用料金収入考慮後の維持管理運営に係るサービス購入費</t>
  </si>
  <si>
    <t>当初費用（アドバイザーフィー等）</t>
  </si>
  <si>
    <t>維持管理運営費用（総額）</t>
  </si>
  <si>
    <t>期中費用（モニタリングコスト）</t>
  </si>
  <si>
    <t>2.5 SPC費用、税金等</t>
  </si>
  <si>
    <t>2.5 SPC費用、税金等の取扱い</t>
  </si>
  <si>
    <t>割賦金利に含めて支払</t>
  </si>
  <si>
    <t>SPC費用　年額</t>
  </si>
  <si>
    <t>サービス購入費として支払</t>
  </si>
  <si>
    <t>SPC設立費用</t>
  </si>
  <si>
    <t>2.6調整項目</t>
  </si>
  <si>
    <t>開業前SPC経費</t>
  </si>
  <si>
    <t>競争の効果反映</t>
  </si>
  <si>
    <t>*デフォルト値として記載</t>
  </si>
  <si>
    <t>引渡時SPC税金負担</t>
  </si>
  <si>
    <t>引渡時の不動産取得税・登録免許税</t>
  </si>
  <si>
    <t>民間が実施する場合の削減率（施設整備）</t>
  </si>
  <si>
    <t>PFIとの差異を設定する必要</t>
  </si>
  <si>
    <t>サービス購入費（設立時費用）*サービス購入費に含める場合</t>
  </si>
  <si>
    <t>割賦元本に加算</t>
  </si>
  <si>
    <t>民間が実施する場合の削減率（維持管理運営）</t>
  </si>
  <si>
    <t>SPC経費　年額</t>
  </si>
  <si>
    <t>SPC税金負担</t>
  </si>
  <si>
    <t>３．事業にかかる収入</t>
  </si>
  <si>
    <t>サービス購入費（SPC費用等）年額　*サービス購入費に含める場合</t>
  </si>
  <si>
    <t>別途サービス購入費として支払</t>
  </si>
  <si>
    <t>利用料金収入（百万円、年額）</t>
  </si>
  <si>
    <t>４．事業にかかる資金調達</t>
  </si>
  <si>
    <t>4.1公共側</t>
  </si>
  <si>
    <t>調達必要額</t>
  </si>
  <si>
    <t>収支合計</t>
  </si>
  <si>
    <t>補助金収入（％）</t>
  </si>
  <si>
    <t>施設整備費用(インフレ考慮後）</t>
  </si>
  <si>
    <t>（リスク調整加算後）</t>
  </si>
  <si>
    <t>起債への交付金（率）（％）</t>
  </si>
  <si>
    <t>起債充当率（％）</t>
  </si>
  <si>
    <t>起債発行額（額）</t>
  </si>
  <si>
    <t>据置期間</t>
  </si>
  <si>
    <t>起債への交付金（額）</t>
  </si>
  <si>
    <t>償還期間（年）</t>
  </si>
  <si>
    <t>起債償還額（年額）</t>
  </si>
  <si>
    <t>地方債利回り（％）</t>
  </si>
  <si>
    <t>償還開始時期（第●期）</t>
  </si>
  <si>
    <t>期</t>
  </si>
  <si>
    <t>4.2民間事業者側</t>
  </si>
  <si>
    <t>借入金利</t>
  </si>
  <si>
    <t>民間調達なし</t>
  </si>
  <si>
    <t>借入金利（％）</t>
  </si>
  <si>
    <t>５．事業に係る税金</t>
  </si>
  <si>
    <t>うち、発注者に納付される税金</t>
  </si>
  <si>
    <t>法人税</t>
  </si>
  <si>
    <t>（都道府県）事業税</t>
  </si>
  <si>
    <t>法人税課税標準（SPC税引前利敵）</t>
  </si>
  <si>
    <t>SPC設立なし</t>
  </si>
  <si>
    <t>SPC税引前利益</t>
  </si>
  <si>
    <t>課税標準</t>
  </si>
  <si>
    <t>法人税率</t>
  </si>
  <si>
    <t>実効税率</t>
  </si>
  <si>
    <t>税率</t>
  </si>
  <si>
    <t>法人住民税均等割</t>
  </si>
  <si>
    <t>税額</t>
  </si>
  <si>
    <t>資本金1億円以下、従業員50万人以下</t>
  </si>
  <si>
    <t>（都道府県）法人住民税率</t>
  </si>
  <si>
    <t>不動産取得税</t>
  </si>
  <si>
    <t>特例等、税制に応じて入力（施設整備額はP26セル）</t>
  </si>
  <si>
    <t>施設整備額</t>
  </si>
  <si>
    <t>BOT・BOO以外は不要</t>
  </si>
  <si>
    <t>（市町村）法人住民税率</t>
  </si>
  <si>
    <t>固定資産税</t>
  </si>
  <si>
    <t>登録免許税</t>
  </si>
  <si>
    <t>税制に応じて入力（施設整備額はP26セル）</t>
  </si>
  <si>
    <t>（都道府県）不動産取得税　税額</t>
  </si>
  <si>
    <t>（市町村）固定資産税　税額</t>
  </si>
  <si>
    <t>うち、発注者への納付される税金</t>
  </si>
  <si>
    <t>0をデフォルト値とする</t>
  </si>
  <si>
    <t>発注者が都道府県の場合、入力</t>
  </si>
  <si>
    <t>法人税等・公租公課</t>
  </si>
  <si>
    <t>発注者に納付される税金　合計</t>
  </si>
  <si>
    <t>（都道府県）法人住民税</t>
  </si>
  <si>
    <t>整備期間中</t>
  </si>
  <si>
    <t>完工年度のみ</t>
  </si>
  <si>
    <t>運営期間中</t>
  </si>
  <si>
    <t>（市町村）法人住民税</t>
  </si>
  <si>
    <t>発注者が市町村又は東京都の場合、入力</t>
  </si>
  <si>
    <t>任意入力（全額）①　完工年度のみ</t>
  </si>
  <si>
    <t>任意入力（全額）②　運営期間中</t>
  </si>
  <si>
    <t>６．リスク調整</t>
  </si>
  <si>
    <t>６.リスク調整額</t>
  </si>
  <si>
    <t>5.1SPC設立費用</t>
  </si>
  <si>
    <t>5.2SPC経費</t>
  </si>
  <si>
    <t>SPC経費（年額）</t>
  </si>
  <si>
    <t>5.3SPC予備費</t>
  </si>
  <si>
    <t>SPC予備費</t>
  </si>
  <si>
    <t>5.4官民での利払い費用の差</t>
  </si>
  <si>
    <t>公共の調達金利（地方債）</t>
  </si>
  <si>
    <t>民間の借入金利</t>
  </si>
  <si>
    <t>官民での利払い差（レート）</t>
  </si>
  <si>
    <t>官民利払い費の差</t>
  </si>
  <si>
    <t>END OF WORKSHEET</t>
  </si>
  <si>
    <t>BT</t>
  </si>
  <si>
    <t xml:space="preserve"> </t>
  </si>
  <si>
    <t>DBO</t>
  </si>
  <si>
    <t>BTO</t>
  </si>
  <si>
    <t>2024-05-21</t>
  </si>
  <si>
    <t>2.4その他公共側費用</t>
  </si>
  <si>
    <t>*割賦払の基準金利をデフォルト値として参照</t>
  </si>
  <si>
    <t>6.1SPC設立費用</t>
  </si>
  <si>
    <t>6.2SPC経費</t>
  </si>
  <si>
    <t>6.3SPC予備費</t>
  </si>
  <si>
    <t>6.4官民での利払い費用の差</t>
  </si>
  <si>
    <t>地方債利回り</t>
  </si>
  <si>
    <t>BOT/BOO</t>
  </si>
  <si>
    <t>特例等、税制に応じて入力</t>
  </si>
  <si>
    <t>VFMの算定結果</t>
  </si>
  <si>
    <t>算定の前提条件</t>
  </si>
  <si>
    <t>算定結果</t>
  </si>
  <si>
    <t>事業内容</t>
  </si>
  <si>
    <t>事業方式</t>
  </si>
  <si>
    <t>PSC（従来手法による財政負担）</t>
  </si>
  <si>
    <t>①収支額</t>
  </si>
  <si>
    <t>②収支額（現在価値割引・リスク調整考慮後）</t>
  </si>
  <si>
    <t>施設整備費見込額</t>
  </si>
  <si>
    <t>*1</t>
  </si>
  <si>
    <t>PFI-LCC（PFI実施による財政負担）</t>
  </si>
  <si>
    <t>維持管理・運営費見込額</t>
  </si>
  <si>
    <t>③収支額</t>
  </si>
  <si>
    <t>年額</t>
  </si>
  <si>
    <t>④収支額（現在価値割引後）</t>
  </si>
  <si>
    <t>総額</t>
  </si>
  <si>
    <t>資金調達</t>
  </si>
  <si>
    <t>施設整備費の支払い条件</t>
  </si>
  <si>
    <t>（④ー②）÷②</t>
  </si>
  <si>
    <t>公共債の発行</t>
  </si>
  <si>
    <t>公共債の利率</t>
  </si>
  <si>
    <t>PFI実施時の割賦金利</t>
  </si>
  <si>
    <t>リスク調整</t>
  </si>
  <si>
    <t>*1　PSCは競争の効果を反映、PFI-LCCは民間実施による削減率を織り込み</t>
  </si>
  <si>
    <t>BTO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</si>
</sst>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#,##0_);[Red]\(#,##0\);\-_)"/>
    <numFmt numFmtId="177" formatCode="0.0%"/>
    <numFmt numFmtId="178" formatCode="#,##0.0_);[Red]\(#,##0.0\);\-_)"/>
    <numFmt numFmtId="179" formatCode="#,##0.0;[Red]\-#,##0.0"/>
    <numFmt numFmtId="180" formatCode="#,##0.0"/>
    <numFmt numFmtId="181" formatCode="0.000%"/>
    <numFmt numFmtId="182" formatCode="[Magenta]&quot;Warning&quot;;[Magenta]&quot;Warning&quot;;[Blue]&quot;OK&quot;"/>
    <numFmt numFmtId="183" formatCode="0.000000"/>
    <numFmt numFmtId="184" formatCode="#,##0.00_);[Red]\(#,##0.00\);\-_)"/>
    <numFmt numFmtId="185" formatCode="0.0000"/>
    <numFmt numFmtId="186" formatCode="#,##0.0;&quot;▲ &quot;#,##0.0"/>
    <numFmt numFmtId="187" formatCode="0.0;&quot;▲ &quot;0.0"/>
    <numFmt numFmtId="188" formatCode="#,##0;&quot;▲ &quot;#,##0"/>
  </numFmts>
  <fonts count="3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FF"/>
      <name val="Arial"/>
      <family val="2"/>
    </font>
    <font>
      <sz val="10"/>
      <color indexed="12"/>
      <name val="Arial"/>
      <family val="2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Arial"/>
      <family val="2"/>
    </font>
    <font>
      <b/>
      <sz val="11"/>
      <color theme="0"/>
      <name val="游ゴシック"/>
      <family val="3"/>
      <charset val="128"/>
      <scheme val="minor"/>
    </font>
    <font>
      <sz val="9"/>
      <color theme="1"/>
      <name val="Calibri"/>
      <family val="2"/>
    </font>
    <font>
      <sz val="9"/>
      <color theme="1"/>
      <name val="ＭＳ Ｐゴシック"/>
      <family val="2"/>
      <charset val="128"/>
    </font>
    <font>
      <sz val="11"/>
      <color rgb="FFFF0000"/>
      <name val="游ゴシック"/>
      <family val="2"/>
      <charset val="128"/>
      <scheme val="minor"/>
    </font>
    <font>
      <b/>
      <sz val="8"/>
      <color indexed="12"/>
      <name val="Arial"/>
      <family val="2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8"/>
      <color rgb="FF0070C0"/>
      <name val="Arial"/>
      <family val="2"/>
    </font>
    <font>
      <b/>
      <sz val="11"/>
      <color rgb="FF0070C0"/>
      <name val="游ゴシック"/>
      <family val="2"/>
      <charset val="128"/>
      <scheme val="minor"/>
    </font>
    <font>
      <b/>
      <sz val="11"/>
      <color rgb="FF3333FF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0"/>
      <name val="Arial"/>
      <family val="2"/>
    </font>
    <font>
      <sz val="12"/>
      <color rgb="FFFF0000"/>
      <name val="游ゴシック"/>
      <family val="3"/>
      <charset val="128"/>
      <scheme val="minor"/>
    </font>
    <font>
      <sz val="12"/>
      <color rgb="FF0000FF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b/>
      <sz val="12"/>
      <color theme="0"/>
      <name val="Calibri Light"/>
      <family val="2"/>
    </font>
    <font>
      <b/>
      <i/>
      <sz val="8"/>
      <color theme="0"/>
      <name val="Calibri Light"/>
      <family val="2"/>
    </font>
    <font>
      <b/>
      <sz val="10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4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/>
      <right/>
      <top style="hair">
        <color auto="1"/>
      </top>
      <bottom style="hair">
        <color auto="1"/>
      </bottom>
      <diagonal style="hair">
        <color auto="1"/>
      </diagonal>
    </border>
    <border diagonalUp="1">
      <left style="hair">
        <color auto="1"/>
      </left>
      <right/>
      <top style="hair">
        <color auto="1"/>
      </top>
      <bottom style="hair">
        <color auto="1"/>
      </bottom>
      <diagonal style="hair">
        <color auto="1"/>
      </diagonal>
    </border>
    <border diagonalUp="1">
      <left/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Up="1"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/>
      <diagonal style="hair">
        <color indexed="64"/>
      </diagonal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 diagonalUp="1"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>
      <alignment vertical="center"/>
    </xf>
    <xf numFmtId="9" fontId="1" fillId="0" borderId="0">
      <alignment vertical="center"/>
    </xf>
    <xf numFmtId="176" fontId="4" fillId="3" borderId="2">
      <protection locked="0"/>
    </xf>
    <xf numFmtId="38" fontId="1" fillId="0" borderId="0">
      <alignment vertical="center"/>
    </xf>
    <xf numFmtId="182" fontId="12" fillId="0" borderId="0"/>
    <xf numFmtId="0" fontId="31" fillId="0" borderId="47">
      <alignment vertical="center"/>
    </xf>
  </cellStyleXfs>
  <cellXfs count="289">
    <xf numFmtId="0" fontId="0" fillId="0" borderId="0" xfId="0">
      <alignment vertical="center"/>
    </xf>
    <xf numFmtId="176" fontId="3" fillId="3" borderId="2" xfId="2" applyFont="1">
      <protection locked="0"/>
    </xf>
    <xf numFmtId="0" fontId="0" fillId="0" borderId="0" xfId="0" applyAlignment="1">
      <alignment horizontal="right" vertical="center"/>
    </xf>
    <xf numFmtId="9" fontId="3" fillId="2" borderId="2" xfId="1" applyFont="1" applyFill="1" applyBorder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7" borderId="0" xfId="0" applyFont="1" applyFill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177" fontId="3" fillId="2" borderId="2" xfId="1" applyNumberFormat="1" applyFont="1" applyFill="1" applyBorder="1" applyAlignment="1"/>
    <xf numFmtId="10" fontId="3" fillId="2" borderId="2" xfId="1" applyNumberFormat="1" applyFont="1" applyFill="1" applyBorder="1" applyAlignment="1"/>
    <xf numFmtId="177" fontId="3" fillId="2" borderId="1" xfId="1" applyNumberFormat="1" applyFont="1" applyFill="1" applyBorder="1" applyAlignment="1"/>
    <xf numFmtId="10" fontId="3" fillId="2" borderId="14" xfId="1" applyNumberFormat="1" applyFont="1" applyFill="1" applyBorder="1" applyAlignment="1"/>
    <xf numFmtId="177" fontId="3" fillId="2" borderId="15" xfId="1" applyNumberFormat="1" applyFont="1" applyFill="1" applyBorder="1" applyAlignment="1"/>
    <xf numFmtId="0" fontId="0" fillId="0" borderId="0" xfId="0" applyAlignment="1">
      <alignment horizontal="center" vertical="center"/>
    </xf>
    <xf numFmtId="176" fontId="0" fillId="0" borderId="2" xfId="0" applyNumberFormat="1" applyBorder="1">
      <alignment vertical="center"/>
    </xf>
    <xf numFmtId="178" fontId="0" fillId="0" borderId="2" xfId="0" applyNumberFormat="1" applyBorder="1">
      <alignment vertical="center"/>
    </xf>
    <xf numFmtId="0" fontId="5" fillId="8" borderId="0" xfId="0" applyFont="1" applyFill="1">
      <alignment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>
      <alignment vertical="center"/>
    </xf>
    <xf numFmtId="0" fontId="8" fillId="10" borderId="0" xfId="0" applyFont="1" applyFill="1">
      <alignment vertical="center"/>
    </xf>
    <xf numFmtId="0" fontId="5" fillId="0" borderId="4" xfId="0" applyFont="1" applyBorder="1" applyAlignment="1">
      <alignment horizontal="righ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176" fontId="3" fillId="3" borderId="2" xfId="2" applyFont="1" applyAlignment="1">
      <alignment horizontal="right"/>
      <protection locked="0"/>
    </xf>
    <xf numFmtId="179" fontId="5" fillId="8" borderId="0" xfId="3" applyNumberFormat="1" applyFont="1" applyFill="1" applyAlignment="1">
      <alignment horizontal="center" vertical="center"/>
    </xf>
    <xf numFmtId="179" fontId="0" fillId="0" borderId="0" xfId="3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9" fontId="5" fillId="4" borderId="21" xfId="3" applyNumberFormat="1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10" fontId="0" fillId="0" borderId="2" xfId="0" applyNumberFormat="1" applyBorder="1">
      <alignment vertical="center"/>
    </xf>
    <xf numFmtId="0" fontId="5" fillId="7" borderId="3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179" fontId="5" fillId="4" borderId="23" xfId="3" applyNumberFormat="1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80" fontId="0" fillId="0" borderId="0" xfId="3" applyNumberFormat="1" applyFont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179" fontId="0" fillId="0" borderId="2" xfId="3" applyNumberFormat="1" applyFont="1" applyBorder="1">
      <alignment vertical="center"/>
    </xf>
    <xf numFmtId="178" fontId="7" fillId="0" borderId="2" xfId="2" applyNumberFormat="1" applyFont="1" applyFill="1">
      <protection locked="0"/>
    </xf>
    <xf numFmtId="176" fontId="7" fillId="0" borderId="14" xfId="2" applyFont="1" applyFill="1" applyBorder="1">
      <protection locked="0"/>
    </xf>
    <xf numFmtId="181" fontId="3" fillId="2" borderId="2" xfId="1" applyNumberFormat="1" applyFont="1" applyFill="1" applyBorder="1" applyAlignment="1"/>
    <xf numFmtId="0" fontId="5" fillId="5" borderId="10" xfId="0" applyFont="1" applyFill="1" applyBorder="1" applyAlignment="1">
      <alignment horizontal="left" vertical="center" indent="18"/>
    </xf>
    <xf numFmtId="0" fontId="0" fillId="0" borderId="0" xfId="0" applyAlignment="1">
      <alignment horizontal="left" vertical="center"/>
    </xf>
    <xf numFmtId="177" fontId="0" fillId="0" borderId="9" xfId="1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5" fillId="4" borderId="19" xfId="0" applyFont="1" applyFill="1" applyBorder="1" applyAlignment="1">
      <alignment horizontal="centerContinuous" vertical="center" wrapText="1"/>
    </xf>
    <xf numFmtId="0" fontId="5" fillId="4" borderId="20" xfId="0" applyFont="1" applyFill="1" applyBorder="1" applyAlignment="1">
      <alignment horizontal="centerContinuous" vertical="center" wrapText="1"/>
    </xf>
    <xf numFmtId="0" fontId="5" fillId="4" borderId="21" xfId="0" applyFont="1" applyFill="1" applyBorder="1" applyAlignment="1">
      <alignment horizontal="centerContinuous" vertical="center" wrapText="1"/>
    </xf>
    <xf numFmtId="0" fontId="5" fillId="6" borderId="20" xfId="0" applyFont="1" applyFill="1" applyBorder="1" applyAlignment="1">
      <alignment horizontal="centerContinuous" vertical="center" wrapText="1"/>
    </xf>
    <xf numFmtId="0" fontId="5" fillId="6" borderId="19" xfId="0" applyFont="1" applyFill="1" applyBorder="1" applyAlignment="1">
      <alignment horizontal="centerContinuous" vertical="center" wrapText="1"/>
    </xf>
    <xf numFmtId="0" fontId="5" fillId="6" borderId="21" xfId="0" applyFont="1" applyFill="1" applyBorder="1" applyAlignment="1">
      <alignment horizontal="centerContinuous" vertical="center" wrapText="1"/>
    </xf>
    <xf numFmtId="0" fontId="5" fillId="7" borderId="19" xfId="0" applyFont="1" applyFill="1" applyBorder="1" applyAlignment="1">
      <alignment horizontal="centerContinuous" vertical="center" wrapText="1"/>
    </xf>
    <xf numFmtId="0" fontId="5" fillId="7" borderId="20" xfId="0" applyFont="1" applyFill="1" applyBorder="1" applyAlignment="1">
      <alignment horizontal="centerContinuous" vertical="center" wrapText="1"/>
    </xf>
    <xf numFmtId="0" fontId="5" fillId="7" borderId="21" xfId="0" applyFont="1" applyFill="1" applyBorder="1" applyAlignment="1">
      <alignment horizontal="centerContinuous" vertical="center" wrapText="1"/>
    </xf>
    <xf numFmtId="14" fontId="3" fillId="3" borderId="2" xfId="2" applyNumberFormat="1" applyFont="1">
      <protection locked="0"/>
    </xf>
    <xf numFmtId="179" fontId="0" fillId="0" borderId="2" xfId="0" applyNumberFormat="1" applyBorder="1">
      <alignment vertical="center"/>
    </xf>
    <xf numFmtId="181" fontId="0" fillId="0" borderId="2" xfId="0" applyNumberFormat="1" applyBorder="1">
      <alignment vertical="center"/>
    </xf>
    <xf numFmtId="181" fontId="0" fillId="0" borderId="2" xfId="1" applyNumberFormat="1" applyFont="1" applyBorder="1">
      <alignment vertical="center"/>
    </xf>
    <xf numFmtId="0" fontId="11" fillId="0" borderId="0" xfId="0" applyFont="1">
      <alignment vertical="center"/>
    </xf>
    <xf numFmtId="176" fontId="3" fillId="0" borderId="2" xfId="2" applyFont="1" applyFill="1">
      <protection locked="0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11" borderId="0" xfId="0" applyFont="1" applyFill="1">
      <alignment vertical="center"/>
    </xf>
    <xf numFmtId="0" fontId="13" fillId="0" borderId="0" xfId="0" applyFont="1" applyAlignment="1">
      <alignment horizontal="right" vertical="center"/>
    </xf>
    <xf numFmtId="179" fontId="13" fillId="0" borderId="2" xfId="3" applyNumberFormat="1" applyFont="1" applyBorder="1" applyAlignment="1">
      <alignment horizontal="right" vertical="center"/>
    </xf>
    <xf numFmtId="177" fontId="13" fillId="0" borderId="2" xfId="1" applyNumberFormat="1" applyFont="1" applyBorder="1">
      <alignment vertical="center"/>
    </xf>
    <xf numFmtId="181" fontId="13" fillId="0" borderId="18" xfId="1" applyNumberFormat="1" applyFont="1" applyBorder="1" applyAlignment="1">
      <alignment horizontal="centerContinuous" vertical="center"/>
    </xf>
    <xf numFmtId="181" fontId="13" fillId="0" borderId="24" xfId="1" applyNumberFormat="1" applyFont="1" applyBorder="1" applyAlignment="1">
      <alignment horizontal="centerContinuous" vertical="center"/>
    </xf>
    <xf numFmtId="10" fontId="13" fillId="0" borderId="2" xfId="1" applyNumberFormat="1" applyFont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7" fillId="11" borderId="0" xfId="0" applyFont="1" applyFill="1">
      <alignment vertical="center"/>
    </xf>
    <xf numFmtId="0" fontId="5" fillId="7" borderId="28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79" fontId="6" fillId="0" borderId="0" xfId="3" applyNumberFormat="1" applyFont="1" applyAlignment="1">
      <alignment horizontal="left" vertical="center"/>
    </xf>
    <xf numFmtId="0" fontId="5" fillId="4" borderId="29" xfId="0" applyFont="1" applyFill="1" applyBorder="1" applyAlignment="1">
      <alignment horizontal="center" vertical="center" wrapText="1"/>
    </xf>
    <xf numFmtId="179" fontId="0" fillId="4" borderId="16" xfId="3" applyNumberFormat="1" applyFont="1" applyFill="1" applyBorder="1" applyAlignment="1">
      <alignment horizontal="center" vertical="center" wrapText="1"/>
    </xf>
    <xf numFmtId="182" fontId="18" fillId="0" borderId="0" xfId="4" applyFont="1"/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4" borderId="2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179" fontId="5" fillId="4" borderId="17" xfId="3" applyNumberFormat="1" applyFont="1" applyFill="1" applyBorder="1" applyAlignment="1">
      <alignment horizontal="center" vertical="center" wrapText="1"/>
    </xf>
    <xf numFmtId="183" fontId="0" fillId="0" borderId="26" xfId="0" applyNumberFormat="1" applyBorder="1" applyAlignment="1">
      <alignment horizontal="center" vertical="center"/>
    </xf>
    <xf numFmtId="179" fontId="5" fillId="4" borderId="28" xfId="3" applyNumberFormat="1" applyFont="1" applyFill="1" applyBorder="1" applyAlignment="1">
      <alignment horizontal="center" vertical="center" wrapText="1"/>
    </xf>
    <xf numFmtId="10" fontId="3" fillId="2" borderId="1" xfId="1" applyNumberFormat="1" applyFont="1" applyFill="1" applyBorder="1" applyAlignment="1"/>
    <xf numFmtId="179" fontId="5" fillId="4" borderId="1" xfId="3" applyNumberFormat="1" applyFont="1" applyFill="1" applyBorder="1" applyAlignment="1">
      <alignment horizontal="center" vertical="center" wrapText="1"/>
    </xf>
    <xf numFmtId="10" fontId="0" fillId="0" borderId="2" xfId="0" applyNumberFormat="1" applyBorder="1" applyAlignment="1">
      <alignment horizontal="right" vertical="center"/>
    </xf>
    <xf numFmtId="184" fontId="3" fillId="3" borderId="2" xfId="2" applyNumberFormat="1" applyFont="1">
      <protection locked="0"/>
    </xf>
    <xf numFmtId="177" fontId="3" fillId="3" borderId="2" xfId="1" applyNumberFormat="1" applyFont="1" applyFill="1" applyBorder="1" applyAlignment="1" applyProtection="1">
      <protection locked="0"/>
    </xf>
    <xf numFmtId="38" fontId="0" fillId="0" borderId="0" xfId="3" applyFont="1">
      <alignment vertical="center"/>
    </xf>
    <xf numFmtId="0" fontId="21" fillId="0" borderId="0" xfId="0" applyFont="1">
      <alignment vertical="center"/>
    </xf>
    <xf numFmtId="10" fontId="0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185" fontId="0" fillId="0" borderId="2" xfId="0" applyNumberFormat="1" applyBorder="1" applyAlignment="1">
      <alignment horizontal="right" vertical="center"/>
    </xf>
    <xf numFmtId="38" fontId="0" fillId="0" borderId="2" xfId="0" applyNumberFormat="1" applyBorder="1">
      <alignment vertical="center"/>
    </xf>
    <xf numFmtId="184" fontId="7" fillId="0" borderId="2" xfId="2" applyNumberFormat="1" applyFont="1" applyFill="1">
      <protection locked="0"/>
    </xf>
    <xf numFmtId="184" fontId="0" fillId="0" borderId="2" xfId="0" applyNumberFormat="1" applyBorder="1">
      <alignment vertical="center"/>
    </xf>
    <xf numFmtId="176" fontId="7" fillId="0" borderId="34" xfId="2" applyFont="1" applyFill="1" applyBorder="1">
      <protection locked="0"/>
    </xf>
    <xf numFmtId="179" fontId="0" fillId="0" borderId="29" xfId="3" applyNumberFormat="1" applyFont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6" xfId="0" applyBorder="1" applyAlignment="1">
      <alignment horizontal="center" vertical="center"/>
    </xf>
    <xf numFmtId="176" fontId="7" fillId="0" borderId="37" xfId="2" applyFont="1" applyFill="1" applyBorder="1">
      <protection locked="0"/>
    </xf>
    <xf numFmtId="179" fontId="0" fillId="0" borderId="30" xfId="3" applyNumberFormat="1" applyFont="1" applyBorder="1">
      <alignment vertical="center"/>
    </xf>
    <xf numFmtId="176" fontId="7" fillId="0" borderId="38" xfId="2" applyFont="1" applyFill="1" applyBorder="1">
      <protection locked="0"/>
    </xf>
    <xf numFmtId="179" fontId="0" fillId="0" borderId="39" xfId="3" applyNumberFormat="1" applyFont="1" applyBorder="1">
      <alignment vertical="center"/>
    </xf>
    <xf numFmtId="40" fontId="0" fillId="0" borderId="40" xfId="3" applyNumberFormat="1" applyFont="1" applyBorder="1">
      <alignment vertical="center"/>
    </xf>
    <xf numFmtId="10" fontId="13" fillId="0" borderId="14" xfId="1" applyNumberFormat="1" applyFont="1" applyBorder="1" applyAlignment="1">
      <alignment horizontal="right" vertical="center"/>
    </xf>
    <xf numFmtId="176" fontId="7" fillId="0" borderId="2" xfId="2" applyFont="1" applyFill="1" applyAlignment="1">
      <alignment horizontal="right"/>
      <protection locked="0"/>
    </xf>
    <xf numFmtId="177" fontId="3" fillId="3" borderId="14" xfId="1" applyNumberFormat="1" applyFont="1" applyFill="1" applyBorder="1" applyAlignment="1" applyProtection="1">
      <protection locked="0"/>
    </xf>
    <xf numFmtId="0" fontId="5" fillId="7" borderId="21" xfId="0" applyFont="1" applyFill="1" applyBorder="1" applyAlignment="1">
      <alignment horizontal="center" vertical="center" wrapText="1"/>
    </xf>
    <xf numFmtId="14" fontId="7" fillId="12" borderId="2" xfId="2" applyNumberFormat="1" applyFont="1" applyFill="1">
      <protection locked="0"/>
    </xf>
    <xf numFmtId="9" fontId="3" fillId="12" borderId="2" xfId="1" applyFont="1" applyFill="1" applyBorder="1" applyAlignment="1"/>
    <xf numFmtId="9" fontId="3" fillId="12" borderId="14" xfId="1" applyFont="1" applyFill="1" applyBorder="1" applyAlignment="1"/>
    <xf numFmtId="177" fontId="0" fillId="0" borderId="2" xfId="0" applyNumberFormat="1" applyBorder="1">
      <alignment vertical="center"/>
    </xf>
    <xf numFmtId="9" fontId="3" fillId="3" borderId="1" xfId="1" applyFont="1" applyFill="1" applyBorder="1" applyAlignment="1" applyProtection="1">
      <protection locked="0"/>
    </xf>
    <xf numFmtId="38" fontId="13" fillId="0" borderId="2" xfId="3" applyFont="1" applyBorder="1" applyAlignment="1">
      <alignment horizontal="right" vertical="center"/>
    </xf>
    <xf numFmtId="178" fontId="3" fillId="0" borderId="2" xfId="2" applyNumberFormat="1" applyFont="1" applyFill="1">
      <protection locked="0"/>
    </xf>
    <xf numFmtId="179" fontId="5" fillId="4" borderId="21" xfId="3" applyNumberFormat="1" applyFont="1" applyFill="1" applyBorder="1" applyAlignment="1">
      <alignment horizontal="centerContinuous" vertical="center" wrapText="1"/>
    </xf>
    <xf numFmtId="0" fontId="5" fillId="0" borderId="41" xfId="0" applyFont="1" applyBorder="1" applyAlignment="1">
      <alignment horizontal="center" vertical="center"/>
    </xf>
    <xf numFmtId="0" fontId="5" fillId="4" borderId="29" xfId="0" applyFont="1" applyFill="1" applyBorder="1" applyAlignment="1">
      <alignment horizontal="centerContinuous" vertical="center" wrapText="1"/>
    </xf>
    <xf numFmtId="179" fontId="0" fillId="4" borderId="29" xfId="3" applyNumberFormat="1" applyFont="1" applyFill="1" applyBorder="1" applyAlignment="1">
      <alignment horizontal="centerContinuous" vertical="center"/>
    </xf>
    <xf numFmtId="176" fontId="5" fillId="0" borderId="4" xfId="0" applyNumberFormat="1" applyFont="1" applyBorder="1">
      <alignment vertical="center"/>
    </xf>
    <xf numFmtId="176" fontId="3" fillId="3" borderId="14" xfId="2" applyFont="1" applyBorder="1">
      <protection locked="0"/>
    </xf>
    <xf numFmtId="0" fontId="22" fillId="0" borderId="0" xfId="0" applyFont="1">
      <alignment vertical="center"/>
    </xf>
    <xf numFmtId="186" fontId="0" fillId="0" borderId="32" xfId="0" applyNumberFormat="1" applyBorder="1" applyAlignment="1">
      <alignment horizontal="center" vertical="center"/>
    </xf>
    <xf numFmtId="186" fontId="0" fillId="0" borderId="31" xfId="0" applyNumberFormat="1" applyBorder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186" fontId="0" fillId="0" borderId="14" xfId="0" applyNumberFormat="1" applyBorder="1" applyAlignment="1">
      <alignment horizontal="center" vertical="center"/>
    </xf>
    <xf numFmtId="186" fontId="0" fillId="0" borderId="18" xfId="3" applyNumberFormat="1" applyFont="1" applyBorder="1" applyAlignment="1">
      <alignment horizontal="right" vertical="center"/>
    </xf>
    <xf numFmtId="186" fontId="0" fillId="0" borderId="4" xfId="3" applyNumberFormat="1" applyFont="1" applyBorder="1" applyAlignment="1">
      <alignment horizontal="right" vertical="center"/>
    </xf>
    <xf numFmtId="186" fontId="0" fillId="0" borderId="24" xfId="3" applyNumberFormat="1" applyFont="1" applyBorder="1" applyAlignment="1">
      <alignment horizontal="right" vertical="center"/>
    </xf>
    <xf numFmtId="186" fontId="0" fillId="0" borderId="2" xfId="3" applyNumberFormat="1" applyFont="1" applyBorder="1" applyAlignment="1">
      <alignment horizontal="right" vertical="center"/>
    </xf>
    <xf numFmtId="186" fontId="0" fillId="0" borderId="3" xfId="3" applyNumberFormat="1" applyFont="1" applyBorder="1" applyAlignment="1">
      <alignment horizontal="right" vertical="center"/>
    </xf>
    <xf numFmtId="186" fontId="0" fillId="0" borderId="23" xfId="3" applyNumberFormat="1" applyFont="1" applyBorder="1" applyAlignment="1">
      <alignment horizontal="right" vertical="center"/>
    </xf>
    <xf numFmtId="186" fontId="0" fillId="0" borderId="16" xfId="3" applyNumberFormat="1" applyFont="1" applyBorder="1" applyAlignment="1">
      <alignment horizontal="right" vertical="center"/>
    </xf>
    <xf numFmtId="186" fontId="0" fillId="0" borderId="14" xfId="3" applyNumberFormat="1" applyFont="1" applyBorder="1" applyAlignment="1">
      <alignment horizontal="right" vertical="center"/>
    </xf>
    <xf numFmtId="186" fontId="0" fillId="0" borderId="14" xfId="3" applyNumberFormat="1" applyFont="1" applyBorder="1" applyAlignment="1">
      <alignment horizontal="center" vertical="center"/>
    </xf>
    <xf numFmtId="186" fontId="5" fillId="0" borderId="0" xfId="3" applyNumberFormat="1" applyFont="1" applyAlignment="1">
      <alignment horizontal="center" vertical="center"/>
    </xf>
    <xf numFmtId="186" fontId="0" fillId="0" borderId="0" xfId="0" applyNumberFormat="1">
      <alignment vertical="center"/>
    </xf>
    <xf numFmtId="186" fontId="0" fillId="0" borderId="0" xfId="3" applyNumberFormat="1" applyFont="1" applyAlignment="1">
      <alignment horizontal="center" vertical="center"/>
    </xf>
    <xf numFmtId="177" fontId="0" fillId="0" borderId="6" xfId="1" applyNumberFormat="1" applyFont="1" applyBorder="1" applyAlignment="1">
      <alignment horizontal="center" vertical="center"/>
    </xf>
    <xf numFmtId="186" fontId="0" fillId="0" borderId="41" xfId="3" applyNumberFormat="1" applyFont="1" applyBorder="1" applyAlignment="1">
      <alignment horizontal="center" vertical="center"/>
    </xf>
    <xf numFmtId="186" fontId="0" fillId="0" borderId="32" xfId="0" applyNumberFormat="1" applyBorder="1">
      <alignment vertical="center"/>
    </xf>
    <xf numFmtId="186" fontId="0" fillId="0" borderId="33" xfId="0" applyNumberFormat="1" applyBorder="1" applyAlignment="1">
      <alignment horizontal="center" vertical="center"/>
    </xf>
    <xf numFmtId="187" fontId="0" fillId="0" borderId="7" xfId="3" applyNumberFormat="1" applyFont="1" applyBorder="1" applyAlignment="1">
      <alignment horizontal="center" vertical="center"/>
    </xf>
    <xf numFmtId="187" fontId="0" fillId="0" borderId="8" xfId="3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25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88" fontId="13" fillId="0" borderId="2" xfId="3" applyNumberFormat="1" applyFont="1" applyBorder="1" applyAlignment="1">
      <alignment horizontal="right" vertical="center"/>
    </xf>
    <xf numFmtId="188" fontId="13" fillId="0" borderId="0" xfId="0" applyNumberFormat="1" applyFont="1">
      <alignment vertical="center"/>
    </xf>
    <xf numFmtId="188" fontId="13" fillId="0" borderId="0" xfId="3" applyNumberFormat="1" applyFont="1">
      <alignment vertical="center"/>
    </xf>
    <xf numFmtId="177" fontId="7" fillId="0" borderId="0" xfId="0" applyNumberFormat="1" applyFont="1">
      <alignment vertical="center"/>
    </xf>
    <xf numFmtId="0" fontId="25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Continuous" vertical="center"/>
    </xf>
    <xf numFmtId="0" fontId="13" fillId="0" borderId="24" xfId="0" applyFont="1" applyBorder="1" applyAlignment="1">
      <alignment horizontal="centerContinuous" vertical="center"/>
    </xf>
    <xf numFmtId="0" fontId="15" fillId="11" borderId="22" xfId="0" applyFont="1" applyFill="1" applyBorder="1" applyAlignment="1">
      <alignment horizontal="center" vertical="center"/>
    </xf>
    <xf numFmtId="0" fontId="5" fillId="13" borderId="0" xfId="0" applyFont="1" applyFill="1">
      <alignment vertical="center"/>
    </xf>
    <xf numFmtId="179" fontId="7" fillId="0" borderId="2" xfId="3" applyNumberFormat="1" applyFont="1" applyBorder="1">
      <alignment vertical="center"/>
    </xf>
    <xf numFmtId="179" fontId="3" fillId="3" borderId="2" xfId="3" applyNumberFormat="1" applyFont="1" applyFill="1" applyBorder="1" applyAlignment="1" applyProtection="1">
      <protection locked="0"/>
    </xf>
    <xf numFmtId="179" fontId="3" fillId="3" borderId="2" xfId="2" applyNumberFormat="1" applyFont="1">
      <protection locked="0"/>
    </xf>
    <xf numFmtId="179" fontId="7" fillId="0" borderId="2" xfId="0" applyNumberFormat="1" applyFont="1" applyBorder="1">
      <alignment vertical="center"/>
    </xf>
    <xf numFmtId="177" fontId="7" fillId="0" borderId="2" xfId="1" applyNumberFormat="1" applyFont="1" applyBorder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177" fontId="27" fillId="12" borderId="2" xfId="1" applyNumberFormat="1" applyFont="1" applyFill="1" applyBorder="1" applyAlignment="1"/>
    <xf numFmtId="9" fontId="27" fillId="12" borderId="2" xfId="1" applyFont="1" applyFill="1" applyBorder="1" applyAlignment="1"/>
    <xf numFmtId="178" fontId="27" fillId="12" borderId="2" xfId="2" applyNumberFormat="1" applyFont="1" applyFill="1">
      <protection locked="0"/>
    </xf>
    <xf numFmtId="0" fontId="28" fillId="0" borderId="0" xfId="0" applyFont="1">
      <alignment vertical="center"/>
    </xf>
    <xf numFmtId="10" fontId="14" fillId="0" borderId="14" xfId="1" applyNumberFormat="1" applyFont="1" applyBorder="1" applyAlignment="1">
      <alignment horizontal="right" vertical="center"/>
    </xf>
    <xf numFmtId="0" fontId="15" fillId="10" borderId="0" xfId="0" applyFont="1" applyFill="1" applyAlignment="1">
      <alignment horizontal="center" vertical="center"/>
    </xf>
    <xf numFmtId="10" fontId="13" fillId="0" borderId="0" xfId="1" applyNumberFormat="1" applyFont="1">
      <alignment vertical="center"/>
    </xf>
    <xf numFmtId="10" fontId="13" fillId="0" borderId="42" xfId="1" applyNumberFormat="1" applyFont="1" applyBorder="1" applyAlignment="1">
      <alignment horizontal="right" vertical="center"/>
    </xf>
    <xf numFmtId="10" fontId="13" fillId="0" borderId="43" xfId="1" applyNumberFormat="1" applyFont="1" applyBorder="1" applyAlignment="1">
      <alignment horizontal="right" vertical="center"/>
    </xf>
    <xf numFmtId="0" fontId="5" fillId="6" borderId="19" xfId="0" applyFont="1" applyFill="1" applyBorder="1" applyAlignment="1">
      <alignment horizontal="centerContinuous" vertical="center"/>
    </xf>
    <xf numFmtId="0" fontId="5" fillId="6" borderId="20" xfId="0" applyFont="1" applyFill="1" applyBorder="1" applyAlignment="1">
      <alignment horizontal="centerContinuous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 wrapText="1"/>
    </xf>
    <xf numFmtId="186" fontId="9" fillId="0" borderId="0" xfId="3" applyNumberFormat="1" applyFont="1">
      <alignment vertical="center"/>
    </xf>
    <xf numFmtId="177" fontId="13" fillId="0" borderId="2" xfId="1" applyNumberFormat="1" applyFont="1" applyBorder="1" applyAlignment="1">
      <alignment horizontal="right" vertical="center"/>
    </xf>
    <xf numFmtId="0" fontId="30" fillId="0" borderId="0" xfId="0" applyFont="1">
      <alignment vertical="center"/>
    </xf>
    <xf numFmtId="0" fontId="9" fillId="0" borderId="44" xfId="0" applyFont="1" applyBorder="1">
      <alignment vertical="center"/>
    </xf>
    <xf numFmtId="179" fontId="3" fillId="3" borderId="29" xfId="2" applyNumberFormat="1" applyFont="1" applyBorder="1">
      <protection locked="0"/>
    </xf>
    <xf numFmtId="0" fontId="25" fillId="0" borderId="41" xfId="0" applyFont="1" applyBorder="1">
      <alignment vertical="center"/>
    </xf>
    <xf numFmtId="179" fontId="7" fillId="0" borderId="45" xfId="3" applyNumberFormat="1" applyFont="1" applyBorder="1">
      <alignment vertical="center"/>
    </xf>
    <xf numFmtId="10" fontId="13" fillId="0" borderId="34" xfId="1" applyNumberFormat="1" applyFont="1" applyBorder="1" applyAlignment="1">
      <alignment horizontal="right" vertical="center"/>
    </xf>
    <xf numFmtId="179" fontId="0" fillId="0" borderId="40" xfId="3" applyNumberFormat="1" applyFont="1" applyBorder="1">
      <alignment vertical="center"/>
    </xf>
    <xf numFmtId="10" fontId="13" fillId="0" borderId="46" xfId="1" applyNumberFormat="1" applyFont="1" applyBorder="1" applyAlignment="1">
      <alignment horizontal="right" vertical="center"/>
    </xf>
    <xf numFmtId="0" fontId="5" fillId="8" borderId="0" xfId="0" applyFont="1" applyFill="1" applyAlignment="1">
      <alignment horizontal="center" vertical="center" wrapText="1"/>
    </xf>
    <xf numFmtId="186" fontId="0" fillId="0" borderId="32" xfId="3" applyNumberFormat="1" applyFont="1" applyBorder="1" applyAlignment="1">
      <alignment horizontal="center" vertical="center" wrapText="1"/>
    </xf>
    <xf numFmtId="186" fontId="0" fillId="0" borderId="31" xfId="3" applyNumberFormat="1" applyFont="1" applyBorder="1" applyAlignment="1">
      <alignment horizontal="center" vertical="center" wrapText="1"/>
    </xf>
    <xf numFmtId="186" fontId="0" fillId="0" borderId="18" xfId="3" applyNumberFormat="1" applyFont="1" applyBorder="1" applyAlignment="1">
      <alignment horizontal="right" vertical="center" wrapText="1"/>
    </xf>
    <xf numFmtId="186" fontId="0" fillId="0" borderId="4" xfId="3" applyNumberFormat="1" applyFont="1" applyBorder="1" applyAlignment="1">
      <alignment horizontal="right" vertical="center" wrapText="1"/>
    </xf>
    <xf numFmtId="186" fontId="0" fillId="0" borderId="24" xfId="3" applyNumberFormat="1" applyFont="1" applyBorder="1" applyAlignment="1">
      <alignment horizontal="right" vertical="center" wrapText="1"/>
    </xf>
    <xf numFmtId="186" fontId="0" fillId="0" borderId="3" xfId="3" applyNumberFormat="1" applyFont="1" applyBorder="1" applyAlignment="1">
      <alignment horizontal="right" vertical="center" wrapText="1"/>
    </xf>
    <xf numFmtId="186" fontId="0" fillId="0" borderId="23" xfId="3" applyNumberFormat="1" applyFont="1" applyBorder="1" applyAlignment="1">
      <alignment horizontal="right" vertical="center" wrapText="1"/>
    </xf>
    <xf numFmtId="186" fontId="0" fillId="0" borderId="0" xfId="3" applyNumberFormat="1" applyFont="1" applyAlignment="1">
      <alignment horizontal="center" vertical="center" wrapText="1"/>
    </xf>
    <xf numFmtId="186" fontId="0" fillId="0" borderId="41" xfId="3" applyNumberFormat="1" applyFont="1" applyBorder="1" applyAlignment="1">
      <alignment horizontal="center" vertical="center" wrapText="1"/>
    </xf>
    <xf numFmtId="179" fontId="0" fillId="0" borderId="0" xfId="3" applyNumberFormat="1" applyFont="1" applyAlignment="1">
      <alignment horizontal="center" vertical="center" wrapText="1"/>
    </xf>
    <xf numFmtId="179" fontId="5" fillId="8" borderId="0" xfId="3" applyNumberFormat="1" applyFont="1" applyFill="1" applyAlignment="1">
      <alignment horizontal="center" vertical="center" wrapText="1"/>
    </xf>
    <xf numFmtId="186" fontId="0" fillId="0" borderId="32" xfId="0" applyNumberFormat="1" applyBorder="1" applyAlignment="1">
      <alignment horizontal="center" vertical="center" wrapText="1"/>
    </xf>
    <xf numFmtId="186" fontId="0" fillId="0" borderId="31" xfId="0" applyNumberFormat="1" applyBorder="1" applyAlignment="1">
      <alignment horizontal="center" vertical="center" wrapText="1"/>
    </xf>
    <xf numFmtId="186" fontId="0" fillId="0" borderId="33" xfId="0" applyNumberFormat="1" applyBorder="1" applyAlignment="1">
      <alignment horizontal="center" vertical="center" wrapText="1"/>
    </xf>
    <xf numFmtId="186" fontId="0" fillId="0" borderId="16" xfId="3" applyNumberFormat="1" applyFont="1" applyBorder="1" applyAlignment="1">
      <alignment horizontal="right" vertical="center" wrapText="1"/>
    </xf>
    <xf numFmtId="186" fontId="5" fillId="0" borderId="41" xfId="3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177" fontId="0" fillId="0" borderId="9" xfId="1" applyNumberFormat="1" applyFont="1" applyBorder="1" applyAlignment="1">
      <alignment horizontal="center" vertical="center" wrapText="1"/>
    </xf>
    <xf numFmtId="177" fontId="0" fillId="0" borderId="6" xfId="1" applyNumberFormat="1" applyFont="1" applyBorder="1" applyAlignment="1">
      <alignment horizontal="center" vertical="center" wrapText="1"/>
    </xf>
    <xf numFmtId="179" fontId="0" fillId="4" borderId="29" xfId="3" applyNumberFormat="1" applyFont="1" applyFill="1" applyBorder="1" applyAlignment="1">
      <alignment horizontal="centerContinuous" vertical="center" wrapText="1"/>
    </xf>
    <xf numFmtId="186" fontId="0" fillId="0" borderId="32" xfId="0" applyNumberFormat="1" applyBorder="1" applyAlignment="1">
      <alignment vertical="center" wrapText="1"/>
    </xf>
    <xf numFmtId="186" fontId="0" fillId="0" borderId="2" xfId="3" applyNumberFormat="1" applyFont="1" applyBorder="1" applyAlignment="1">
      <alignment horizontal="right" vertical="center" wrapText="1"/>
    </xf>
    <xf numFmtId="186" fontId="0" fillId="0" borderId="14" xfId="3" applyNumberFormat="1" applyFont="1" applyBorder="1" applyAlignment="1">
      <alignment horizontal="right" vertical="center" wrapText="1"/>
    </xf>
    <xf numFmtId="186" fontId="0" fillId="0" borderId="14" xfId="3" applyNumberFormat="1" applyFont="1" applyBorder="1" applyAlignment="1">
      <alignment horizontal="center" vertical="center" wrapText="1"/>
    </xf>
    <xf numFmtId="186" fontId="0" fillId="0" borderId="0" xfId="3" applyNumberFormat="1" applyFont="1" applyAlignment="1">
      <alignment vertical="center" wrapText="1"/>
    </xf>
    <xf numFmtId="0" fontId="8" fillId="0" borderId="0" xfId="0" applyFont="1">
      <alignment vertical="center"/>
    </xf>
    <xf numFmtId="0" fontId="5" fillId="0" borderId="0" xfId="0" applyFont="1" applyAlignment="1">
      <alignment vertical="center" wrapText="1"/>
    </xf>
    <xf numFmtId="179" fontId="5" fillId="0" borderId="0" xfId="3" applyNumberFormat="1" applyFont="1" applyAlignment="1">
      <alignment horizontal="center" vertical="center" wrapText="1"/>
    </xf>
    <xf numFmtId="179" fontId="5" fillId="0" borderId="0" xfId="3" applyNumberFormat="1" applyFont="1" applyAlignment="1">
      <alignment horizontal="center" vertical="center"/>
    </xf>
    <xf numFmtId="176" fontId="0" fillId="0" borderId="2" xfId="0" applyNumberFormat="1" applyBorder="1" applyAlignment="1">
      <alignment vertical="center" wrapText="1"/>
    </xf>
    <xf numFmtId="0" fontId="8" fillId="10" borderId="25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2" fillId="10" borderId="47" xfId="5" applyFont="1" applyFill="1" applyAlignment="1">
      <alignment horizontal="left" vertical="center"/>
    </xf>
    <xf numFmtId="0" fontId="33" fillId="10" borderId="47" xfId="5" applyFont="1" applyFill="1" applyAlignment="1">
      <alignment horizontal="right" vertical="center"/>
    </xf>
    <xf numFmtId="179" fontId="13" fillId="0" borderId="0" xfId="3" applyNumberFormat="1" applyFont="1">
      <alignment vertical="center"/>
    </xf>
    <xf numFmtId="176" fontId="5" fillId="0" borderId="4" xfId="0" applyNumberFormat="1" applyFont="1" applyBorder="1" applyAlignment="1">
      <alignment horizontal="center" vertical="center"/>
    </xf>
    <xf numFmtId="9" fontId="3" fillId="8" borderId="2" xfId="1" applyFont="1" applyFill="1" applyBorder="1" applyAlignment="1"/>
    <xf numFmtId="176" fontId="3" fillId="8" borderId="2" xfId="2" applyFont="1" applyFill="1">
      <protection locked="0"/>
    </xf>
    <xf numFmtId="176" fontId="25" fillId="3" borderId="2" xfId="2" applyFont="1">
      <protection locked="0"/>
    </xf>
    <xf numFmtId="9" fontId="25" fillId="8" borderId="2" xfId="1" applyFont="1" applyFill="1" applyBorder="1" applyAlignment="1"/>
    <xf numFmtId="178" fontId="25" fillId="12" borderId="2" xfId="2" applyNumberFormat="1" applyFont="1" applyFill="1">
      <protection locked="0"/>
    </xf>
    <xf numFmtId="0" fontId="34" fillId="12" borderId="0" xfId="0" applyFont="1" applyFill="1">
      <alignment vertical="center"/>
    </xf>
    <xf numFmtId="184" fontId="3" fillId="8" borderId="2" xfId="2" applyNumberFormat="1" applyFont="1" applyFill="1">
      <protection locked="0"/>
    </xf>
    <xf numFmtId="0" fontId="0" fillId="12" borderId="0" xfId="0" applyFill="1">
      <alignment vertical="center"/>
    </xf>
    <xf numFmtId="179" fontId="3" fillId="12" borderId="14" xfId="3" applyNumberFormat="1" applyFont="1" applyFill="1" applyBorder="1" applyAlignment="1"/>
    <xf numFmtId="186" fontId="0" fillId="12" borderId="3" xfId="3" applyNumberFormat="1" applyFont="1" applyFill="1" applyBorder="1" applyAlignment="1">
      <alignment horizontal="right" vertical="center" wrapText="1"/>
    </xf>
    <xf numFmtId="186" fontId="0" fillId="12" borderId="3" xfId="3" applyNumberFormat="1" applyFont="1" applyFill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182" fontId="12" fillId="0" borderId="14" xfId="4" applyBorder="1" applyAlignment="1">
      <alignment horizontal="center"/>
    </xf>
    <xf numFmtId="180" fontId="0" fillId="0" borderId="14" xfId="3" applyNumberFormat="1" applyFont="1" applyBorder="1" applyAlignment="1">
      <alignment horizontal="right" vertical="center"/>
    </xf>
    <xf numFmtId="182" fontId="12" fillId="0" borderId="2" xfId="4" applyBorder="1" applyAlignment="1">
      <alignment horizontal="center"/>
    </xf>
    <xf numFmtId="182" fontId="12" fillId="7" borderId="1" xfId="4" applyFill="1" applyBorder="1" applyAlignment="1">
      <alignment horizontal="center" wrapText="1"/>
    </xf>
    <xf numFmtId="0" fontId="5" fillId="7" borderId="28" xfId="0" applyFont="1" applyFill="1" applyBorder="1" applyAlignment="1">
      <alignment horizontal="center" vertical="center"/>
    </xf>
    <xf numFmtId="176" fontId="7" fillId="0" borderId="2" xfId="2" applyFont="1" applyFill="1">
      <protection locked="0"/>
    </xf>
    <xf numFmtId="178" fontId="7" fillId="12" borderId="2" xfId="2" applyNumberFormat="1" applyFont="1" applyFill="1">
      <protection locked="0"/>
    </xf>
    <xf numFmtId="0" fontId="1" fillId="0" borderId="0" xfId="0" applyFont="1">
      <alignment vertical="center"/>
    </xf>
    <xf numFmtId="181" fontId="1" fillId="0" borderId="2" xfId="0" applyNumberFormat="1" applyFont="1" applyBorder="1">
      <alignment vertical="center"/>
    </xf>
    <xf numFmtId="181" fontId="1" fillId="0" borderId="2" xfId="1" applyNumberFormat="1" applyBorder="1">
      <alignment vertical="center"/>
    </xf>
    <xf numFmtId="10" fontId="3" fillId="8" borderId="2" xfId="1" applyNumberFormat="1" applyFont="1" applyFill="1" applyBorder="1" applyAlignment="1"/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6" fillId="0" borderId="0" xfId="0" applyFont="1" applyAlignment="1">
      <alignment horizontal="left" vertical="center"/>
    </xf>
    <xf numFmtId="178" fontId="27" fillId="0" borderId="2" xfId="2" applyNumberFormat="1" applyFont="1" applyFill="1">
      <protection locked="0"/>
    </xf>
    <xf numFmtId="0" fontId="0" fillId="0" borderId="0" xfId="0" applyAlignment="1"/>
    <xf numFmtId="0" fontId="29" fillId="2" borderId="48" xfId="0" applyFont="1" applyFill="1" applyBorder="1" applyAlignment="1">
      <alignment horizontal="center" vertical="center"/>
    </xf>
    <xf numFmtId="0" fontId="0" fillId="0" borderId="24" xfId="0" applyBorder="1" applyAlignment="1"/>
  </cellXfs>
  <cellStyles count="6">
    <cellStyle name="DTInputValue" xfId="2" xr:uid="{00000000-0005-0000-0000-000002000000}"/>
    <cellStyle name="DTWarning" xfId="4" xr:uid="{00000000-0005-0000-0000-000004000000}"/>
    <cellStyle name="パーセント" xfId="1" builtinId="5"/>
    <cellStyle name="桁区切り" xfId="3" builtinId="6"/>
    <cellStyle name="見出し 1" xfId="5" builtinId="1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b="1"/>
              <a:t>各事業方式の財政負担（収支額）の推移</a:t>
            </a:r>
            <a:endParaRPr lang="en-US" altLang="ja-JP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2221111111111121E-2"/>
          <c:y val="0.1013578077859196"/>
          <c:w val="0.93630935185185182"/>
          <c:h val="0.781031471983433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【編集不可】リスト!$D$3</c:f>
              <c:strCache>
                <c:ptCount val="1"/>
                <c:pt idx="0">
                  <c:v>BTO(PSC)</c:v>
                </c:pt>
              </c:strCache>
            </c:strRef>
          </c:tx>
          <c:spPr>
            <a:solidFill>
              <a:schemeClr val="accent1"/>
            </a:solidFill>
            <a:ln w="15875">
              <a:noFill/>
              <a:prstDash val="solid"/>
            </a:ln>
          </c:spPr>
          <c:invertIfNegative val="0"/>
          <c:cat>
            <c:numRef>
              <c:f>【編集不可】リスト!$C$4:$C$33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【編集不可】リスト!$D$4:$D$33</c:f>
              <c:numCache>
                <c:formatCode>#,##0.0;"▲ "#,##0.0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1556.125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C-F645-AF35-488CEFBDDE5D}"/>
            </c:ext>
          </c:extLst>
        </c:ser>
        <c:ser>
          <c:idx val="1"/>
          <c:order val="1"/>
          <c:tx>
            <c:strRef>
              <c:f>【編集不可】リスト!$E$3</c:f>
              <c:strCache>
                <c:ptCount val="1"/>
                <c:pt idx="0">
                  <c:v>BTO(PFI-LCC)</c:v>
                </c:pt>
              </c:strCache>
            </c:strRef>
          </c:tx>
          <c:spPr>
            <a:solidFill>
              <a:schemeClr val="accent2"/>
            </a:solidFill>
            <a:ln w="15875">
              <a:noFill/>
              <a:prstDash val="solid"/>
            </a:ln>
          </c:spPr>
          <c:invertIfNegative val="0"/>
          <c:cat>
            <c:numRef>
              <c:f>【編集不可】リスト!$C$4:$C$33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【編集不可】リスト!$E$4:$E$33</c:f>
              <c:numCache>
                <c:formatCode>#,##0.0;"▲ "#,##0.0</c:formatCode>
                <c:ptCount val="30"/>
                <c:pt idx="0">
                  <c:v>31</c:v>
                </c:pt>
                <c:pt idx="1">
                  <c:v>6</c:v>
                </c:pt>
                <c:pt idx="2">
                  <c:v>447.75</c:v>
                </c:pt>
                <c:pt idx="3">
                  <c:v>183.85703826222101</c:v>
                </c:pt>
                <c:pt idx="4">
                  <c:v>183.85703826222101</c:v>
                </c:pt>
                <c:pt idx="5">
                  <c:v>183.85703826222101</c:v>
                </c:pt>
                <c:pt idx="6">
                  <c:v>183.85703826222101</c:v>
                </c:pt>
                <c:pt idx="7">
                  <c:v>183.85703826222101</c:v>
                </c:pt>
                <c:pt idx="8">
                  <c:v>183.85703826222101</c:v>
                </c:pt>
                <c:pt idx="9">
                  <c:v>183.85703826222101</c:v>
                </c:pt>
                <c:pt idx="10">
                  <c:v>183.85703826222101</c:v>
                </c:pt>
                <c:pt idx="11">
                  <c:v>183.85703826222098</c:v>
                </c:pt>
                <c:pt idx="12">
                  <c:v>183.85703826222101</c:v>
                </c:pt>
                <c:pt idx="13">
                  <c:v>183.85703826222101</c:v>
                </c:pt>
                <c:pt idx="14">
                  <c:v>183.85703826222101</c:v>
                </c:pt>
                <c:pt idx="15">
                  <c:v>183.85703826222101</c:v>
                </c:pt>
                <c:pt idx="16">
                  <c:v>183.85703826222098</c:v>
                </c:pt>
                <c:pt idx="17">
                  <c:v>183.85703826222101</c:v>
                </c:pt>
                <c:pt idx="18">
                  <c:v>183.85703826222101</c:v>
                </c:pt>
                <c:pt idx="19">
                  <c:v>183.85703826222101</c:v>
                </c:pt>
                <c:pt idx="20">
                  <c:v>183.85703826222101</c:v>
                </c:pt>
                <c:pt idx="21">
                  <c:v>183.85703826222101</c:v>
                </c:pt>
                <c:pt idx="22">
                  <c:v>183.85703826222101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CC-F645-AF35-488CEFBDDE5D}"/>
            </c:ext>
          </c:extLst>
        </c:ser>
        <c:ser>
          <c:idx val="2"/>
          <c:order val="2"/>
          <c:tx>
            <c:strRef>
              <c:f>【編集不可】リスト!$F$3</c:f>
              <c:strCache>
                <c:ptCount val="1"/>
              </c:strCache>
            </c:strRef>
          </c:tx>
          <c:spPr>
            <a:solidFill>
              <a:schemeClr val="accent3"/>
            </a:solidFill>
            <a:ln w="15875">
              <a:noFill/>
              <a:prstDash val="solid"/>
            </a:ln>
          </c:spPr>
          <c:invertIfNegative val="0"/>
          <c:cat>
            <c:numRef>
              <c:f>【編集不可】リスト!$C$4:$C$33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【編集不可】リスト!$F$4:$F$33</c:f>
              <c:numCache>
                <c:formatCode>#,##0.0;"▲ "#,##0.0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CC-F645-AF35-488CEFBDDE5D}"/>
            </c:ext>
          </c:extLst>
        </c:ser>
        <c:ser>
          <c:idx val="3"/>
          <c:order val="3"/>
          <c:tx>
            <c:strRef>
              <c:f>【編集不可】リスト!$G$3</c:f>
              <c:strCache>
                <c:ptCount val="1"/>
              </c:strCache>
            </c:strRef>
          </c:tx>
          <c:spPr>
            <a:solidFill>
              <a:schemeClr val="accent4"/>
            </a:solidFill>
            <a:ln w="15875">
              <a:noFill/>
              <a:prstDash val="solid"/>
            </a:ln>
          </c:spPr>
          <c:invertIfNegative val="0"/>
          <c:cat>
            <c:numRef>
              <c:f>【編集不可】リスト!$C$4:$C$33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【編集不可】リスト!$G$4:$G$33</c:f>
              <c:numCache>
                <c:formatCode>#,##0.0;"▲ "#,##0.0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CC-F645-AF35-488CEFBDDE5D}"/>
            </c:ext>
          </c:extLst>
        </c:ser>
        <c:ser>
          <c:idx val="4"/>
          <c:order val="4"/>
          <c:tx>
            <c:strRef>
              <c:f>【編集不可】リスト!$H$3</c:f>
              <c:strCache>
                <c:ptCount val="1"/>
              </c:strCache>
            </c:strRef>
          </c:tx>
          <c:spPr>
            <a:solidFill>
              <a:schemeClr val="accent5"/>
            </a:solidFill>
            <a:ln w="15875">
              <a:noFill/>
              <a:prstDash val="solid"/>
            </a:ln>
          </c:spPr>
          <c:invertIfNegative val="0"/>
          <c:cat>
            <c:numRef>
              <c:f>【編集不可】リスト!$C$4:$C$33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【編集不可】リスト!$H$4:$H$33</c:f>
              <c:numCache>
                <c:formatCode>#,##0.0;"▲ "#,##0.0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CC-F645-AF35-488CEFBDDE5D}"/>
            </c:ext>
          </c:extLst>
        </c:ser>
        <c:ser>
          <c:idx val="5"/>
          <c:order val="5"/>
          <c:tx>
            <c:strRef>
              <c:f>【編集不可】リスト!$I$3</c:f>
              <c:strCache>
                <c:ptCount val="1"/>
              </c:strCache>
            </c:strRef>
          </c:tx>
          <c:spPr>
            <a:solidFill>
              <a:schemeClr val="accent6"/>
            </a:solidFill>
            <a:ln w="15875">
              <a:noFill/>
              <a:prstDash val="solid"/>
            </a:ln>
          </c:spPr>
          <c:invertIfNegative val="0"/>
          <c:cat>
            <c:numRef>
              <c:f>【編集不可】リスト!$C$4:$C$33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【編集不可】リスト!$I$4:$I$33</c:f>
              <c:numCache>
                <c:formatCode>#,##0.0;"▲ "#,##0.0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CC-F645-AF35-488CEFBDDE5D}"/>
            </c:ext>
          </c:extLst>
        </c:ser>
        <c:ser>
          <c:idx val="6"/>
          <c:order val="6"/>
          <c:tx>
            <c:strRef>
              <c:f>【編集不可】リスト!$J$3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 w="15875">
              <a:noFill/>
              <a:prstDash val="solid"/>
            </a:ln>
          </c:spPr>
          <c:invertIfNegative val="0"/>
          <c:cat>
            <c:numRef>
              <c:f>【編集不可】リスト!$C$4:$C$33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【編集不可】リスト!$J$4:$J$33</c:f>
              <c:numCache>
                <c:formatCode>#,##0.0;"▲ "#,##0.0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CC-F645-AF35-488CEFBDDE5D}"/>
            </c:ext>
          </c:extLst>
        </c:ser>
        <c:ser>
          <c:idx val="7"/>
          <c:order val="7"/>
          <c:tx>
            <c:strRef>
              <c:f>【編集不可】リスト!$K$3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 w="15875">
              <a:noFill/>
              <a:prstDash val="solid"/>
            </a:ln>
          </c:spPr>
          <c:invertIfNegative val="0"/>
          <c:cat>
            <c:numRef>
              <c:f>【編集不可】リスト!$C$4:$C$33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【編集不可】リスト!$K$4:$K$33</c:f>
              <c:numCache>
                <c:formatCode>#,##0.0;"▲ "#,##0.0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CC-F645-AF35-488CEFBDDE5D}"/>
            </c:ext>
          </c:extLst>
        </c:ser>
        <c:ser>
          <c:idx val="8"/>
          <c:order val="8"/>
          <c:tx>
            <c:strRef>
              <c:f>【編集不可】リスト!$L$3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 w="15875">
              <a:noFill/>
              <a:prstDash val="solid"/>
            </a:ln>
          </c:spPr>
          <c:invertIfNegative val="0"/>
          <c:cat>
            <c:numRef>
              <c:f>【編集不可】リスト!$C$4:$C$33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【編集不可】リスト!$L$4:$L$33</c:f>
              <c:numCache>
                <c:formatCode>#,##0.0;"▲ "#,##0.0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CC-F645-AF35-488CEFBDDE5D}"/>
            </c:ext>
          </c:extLst>
        </c:ser>
        <c:ser>
          <c:idx val="9"/>
          <c:order val="9"/>
          <c:tx>
            <c:strRef>
              <c:f>【編集不可】リスト!$M$3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 w="15875">
              <a:noFill/>
              <a:prstDash val="solid"/>
            </a:ln>
          </c:spPr>
          <c:invertIfNegative val="0"/>
          <c:cat>
            <c:numRef>
              <c:f>【編集不可】リスト!$C$4:$C$33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【編集不可】リスト!$M$4:$M$33</c:f>
              <c:numCache>
                <c:formatCode>#,##0.0;"▲ "#,##0.0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CC-F645-AF35-488CEFBDD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53089920"/>
        <c:axId val="545173568"/>
      </c:barChart>
      <c:catAx>
        <c:axId val="55308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5173568"/>
        <c:crosses val="autoZero"/>
        <c:auto val="0"/>
        <c:lblAlgn val="ctr"/>
        <c:lblOffset val="100"/>
        <c:noMultiLvlLbl val="0"/>
      </c:catAx>
      <c:valAx>
        <c:axId val="5451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.0;&quot;▲ &quot;#,##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308992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557893</xdr:colOff>
      <xdr:row>18</xdr:row>
      <xdr:rowOff>244927</xdr:rowOff>
    </xdr:from>
    <xdr:to>
      <xdr:col>35</xdr:col>
      <xdr:colOff>536357</xdr:colOff>
      <xdr:row>37</xdr:row>
      <xdr:rowOff>121227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U44"/>
  <sheetViews>
    <sheetView showGridLines="0" topLeftCell="A19" zoomScale="85" zoomScaleNormal="85" workbookViewId="0"/>
  </sheetViews>
  <sheetFormatPr baseColWidth="10" defaultColWidth="0" defaultRowHeight="12" customHeight="1" zeroHeight="1"/>
  <cols>
    <col min="1" max="21" width="9" style="27" customWidth="1"/>
    <col min="22" max="22" width="9" style="27" hidden="1" customWidth="1"/>
    <col min="23" max="16384" width="9" style="27" hidden="1"/>
  </cols>
  <sheetData>
    <row r="19" s="27" customFormat="1"/>
    <row r="20" s="27" customFormat="1"/>
    <row r="21" s="27" customFormat="1" hidden="1"/>
    <row r="22" s="27" customFormat="1" hidden="1"/>
    <row r="23" s="27" customFormat="1" hidden="1"/>
    <row r="24" s="27" customFormat="1" hidden="1"/>
    <row r="25" s="27" customFormat="1" hidden="1"/>
    <row r="26" s="27" customFormat="1" hidden="1"/>
    <row r="27" s="27" customFormat="1" hidden="1"/>
    <row r="28" s="27" customFormat="1" hidden="1"/>
    <row r="29" s="27" customFormat="1" hidden="1"/>
    <row r="30" s="27" customFormat="1" hidden="1"/>
    <row r="31" s="27" customFormat="1" hidden="1"/>
    <row r="32" s="27" customFormat="1" hidden="1"/>
    <row r="33" s="27" customFormat="1" hidden="1"/>
    <row r="34" s="27" customFormat="1" hidden="1"/>
    <row r="35" s="27" customFormat="1" hidden="1"/>
    <row r="36" s="27" customFormat="1" hidden="1"/>
    <row r="37" s="27" customFormat="1" hidden="1"/>
    <row r="38" s="27" customFormat="1" hidden="1"/>
    <row r="39" s="27" customFormat="1" hidden="1"/>
    <row r="40" s="27" customFormat="1" hidden="1"/>
    <row r="41" s="27" customFormat="1" hidden="1"/>
    <row r="42" s="27" customFormat="1" hidden="1"/>
    <row r="43" s="27" customFormat="1" hidden="1"/>
    <row r="44" s="27" customFormat="1" hidden="1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2:K34"/>
  <sheetViews>
    <sheetView showGridLines="0" zoomScale="70" zoomScaleNormal="70" workbookViewId="0"/>
  </sheetViews>
  <sheetFormatPr baseColWidth="10" defaultColWidth="11" defaultRowHeight="17"/>
  <cols>
    <col min="1" max="5" width="11" style="174" customWidth="1"/>
    <col min="6" max="6" width="10.83203125" style="174" customWidth="1"/>
    <col min="7" max="7" width="15.83203125" style="174" customWidth="1"/>
    <col min="8" max="8" width="20.83203125" style="174" customWidth="1"/>
    <col min="9" max="9" width="24.6640625" style="174" customWidth="1"/>
    <col min="10" max="10" width="17.1640625" style="174" bestFit="1" customWidth="1"/>
    <col min="11" max="11" width="11" style="174" customWidth="1"/>
    <col min="12" max="16384" width="11" style="174"/>
  </cols>
  <sheetData>
    <row r="2" spans="1:10" ht="18" customHeight="1">
      <c r="A2" s="185" t="s">
        <v>0</v>
      </c>
      <c r="B2" s="185"/>
      <c r="C2" s="185"/>
      <c r="D2" s="185"/>
      <c r="E2" s="185"/>
      <c r="F2" s="185"/>
      <c r="G2" s="185"/>
      <c r="H2" s="185"/>
      <c r="I2" s="185"/>
      <c r="J2" s="185"/>
    </row>
    <row r="3" spans="1:10">
      <c r="A3" s="192" t="s">
        <v>1</v>
      </c>
    </row>
    <row r="4" spans="1:10">
      <c r="G4" s="175" t="s">
        <v>2</v>
      </c>
      <c r="H4" s="175" t="s">
        <v>3</v>
      </c>
      <c r="I4" s="175" t="s">
        <v>4</v>
      </c>
      <c r="J4" s="175" t="s">
        <v>5</v>
      </c>
    </row>
    <row r="5" spans="1:10">
      <c r="A5" s="174" t="s">
        <v>6</v>
      </c>
      <c r="F5" s="174" t="s">
        <v>7</v>
      </c>
      <c r="G5" s="186">
        <f>SUM(G6:G7)</f>
        <v>3000</v>
      </c>
      <c r="H5" s="14">
        <v>0.05</v>
      </c>
      <c r="I5" s="14">
        <v>0.05</v>
      </c>
    </row>
    <row r="6" spans="1:10">
      <c r="C6" s="174" t="s">
        <v>8</v>
      </c>
      <c r="F6" s="174" t="s">
        <v>7</v>
      </c>
      <c r="G6" s="187">
        <v>0</v>
      </c>
    </row>
    <row r="7" spans="1:10" ht="18" customHeight="1" thickBot="1">
      <c r="C7" s="174" t="s">
        <v>9</v>
      </c>
      <c r="F7" s="174" t="s">
        <v>7</v>
      </c>
      <c r="G7" s="187">
        <v>3000</v>
      </c>
    </row>
    <row r="8" spans="1:10" ht="18" customHeight="1" thickTop="1">
      <c r="B8" s="211" t="s">
        <v>10</v>
      </c>
      <c r="C8" s="211"/>
      <c r="D8" s="211"/>
      <c r="E8" s="211"/>
      <c r="F8" s="211" t="s">
        <v>7</v>
      </c>
      <c r="G8" s="212">
        <f>SUM(G5)</f>
        <v>3000</v>
      </c>
      <c r="H8" s="211"/>
      <c r="I8" s="211"/>
      <c r="J8" s="211"/>
    </row>
    <row r="10" spans="1:10">
      <c r="A10" s="174" t="s">
        <v>11</v>
      </c>
      <c r="H10" s="180"/>
      <c r="I10" s="180"/>
      <c r="J10" s="180"/>
    </row>
    <row r="11" spans="1:10">
      <c r="A11" s="192"/>
      <c r="B11" s="174" t="s">
        <v>12</v>
      </c>
      <c r="F11" s="174" t="s">
        <v>7</v>
      </c>
      <c r="G11" s="186">
        <f>SUM(G12:G13)</f>
        <v>30</v>
      </c>
      <c r="H11" s="14">
        <v>0.05</v>
      </c>
      <c r="I11" s="14">
        <v>0.05</v>
      </c>
      <c r="J11" s="14">
        <v>0.02</v>
      </c>
    </row>
    <row r="12" spans="1:10">
      <c r="A12" s="192"/>
      <c r="C12" s="174" t="s">
        <v>8</v>
      </c>
      <c r="F12" s="174" t="s">
        <v>7</v>
      </c>
      <c r="G12" s="188">
        <v>0</v>
      </c>
    </row>
    <row r="13" spans="1:10">
      <c r="C13" s="174" t="s">
        <v>9</v>
      </c>
      <c r="F13" s="174" t="s">
        <v>7</v>
      </c>
      <c r="G13" s="188">
        <v>30</v>
      </c>
    </row>
    <row r="14" spans="1:10">
      <c r="B14" s="174" t="s">
        <v>13</v>
      </c>
      <c r="F14" s="174" t="s">
        <v>7</v>
      </c>
      <c r="G14" s="186">
        <f>SUM(G15:G16)</f>
        <v>15</v>
      </c>
      <c r="H14" s="14">
        <v>0.05</v>
      </c>
      <c r="I14" s="14">
        <v>0.05</v>
      </c>
      <c r="J14" s="14">
        <v>0.02</v>
      </c>
    </row>
    <row r="15" spans="1:10">
      <c r="C15" s="174" t="s">
        <v>8</v>
      </c>
      <c r="F15" s="174" t="s">
        <v>7</v>
      </c>
      <c r="G15" s="188">
        <v>0</v>
      </c>
    </row>
    <row r="16" spans="1:10">
      <c r="C16" s="174" t="s">
        <v>9</v>
      </c>
      <c r="F16" s="174" t="s">
        <v>7</v>
      </c>
      <c r="G16" s="188">
        <v>15</v>
      </c>
    </row>
    <row r="17" spans="2:11">
      <c r="B17" s="174" t="s">
        <v>14</v>
      </c>
      <c r="F17" s="174" t="s">
        <v>7</v>
      </c>
      <c r="G17" s="186">
        <f>SUM(G18:G19)</f>
        <v>5</v>
      </c>
      <c r="H17" s="14">
        <v>0.05</v>
      </c>
      <c r="I17" s="14">
        <v>0.05</v>
      </c>
      <c r="J17" s="14">
        <v>0.02</v>
      </c>
    </row>
    <row r="18" spans="2:11">
      <c r="C18" s="174" t="s">
        <v>8</v>
      </c>
      <c r="F18" s="174" t="s">
        <v>7</v>
      </c>
      <c r="G18" s="188">
        <v>0</v>
      </c>
    </row>
    <row r="19" spans="2:11">
      <c r="C19" s="174" t="s">
        <v>9</v>
      </c>
      <c r="F19" s="174" t="s">
        <v>7</v>
      </c>
      <c r="G19" s="188">
        <v>5</v>
      </c>
    </row>
    <row r="20" spans="2:11">
      <c r="B20" s="174" t="s">
        <v>15</v>
      </c>
      <c r="F20" s="174" t="s">
        <v>7</v>
      </c>
      <c r="G20" s="186">
        <f>SUM(G21:G22)</f>
        <v>0</v>
      </c>
      <c r="H20" s="14">
        <v>0.05</v>
      </c>
      <c r="I20" s="14">
        <v>0.05</v>
      </c>
      <c r="J20" s="14">
        <v>0.02</v>
      </c>
    </row>
    <row r="21" spans="2:11">
      <c r="C21" s="174" t="s">
        <v>8</v>
      </c>
      <c r="F21" s="174" t="s">
        <v>7</v>
      </c>
      <c r="G21" s="188">
        <v>0</v>
      </c>
    </row>
    <row r="22" spans="2:11">
      <c r="C22" s="174" t="s">
        <v>9</v>
      </c>
      <c r="F22" s="174" t="s">
        <v>7</v>
      </c>
      <c r="G22" s="188">
        <v>0</v>
      </c>
    </row>
    <row r="23" spans="2:11">
      <c r="B23" s="174" t="s">
        <v>16</v>
      </c>
      <c r="F23" s="174" t="s">
        <v>7</v>
      </c>
      <c r="G23" s="186">
        <f>SUM(G24:G25)</f>
        <v>0</v>
      </c>
      <c r="H23" s="14">
        <v>0.05</v>
      </c>
      <c r="I23" s="14">
        <v>0.05</v>
      </c>
      <c r="J23" s="14">
        <v>0.02</v>
      </c>
    </row>
    <row r="24" spans="2:11">
      <c r="C24" s="174" t="s">
        <v>8</v>
      </c>
      <c r="F24" s="174" t="s">
        <v>7</v>
      </c>
      <c r="G24" s="188">
        <v>0</v>
      </c>
    </row>
    <row r="25" spans="2:11" ht="18" customHeight="1" thickBot="1">
      <c r="C25" s="174" t="s">
        <v>9</v>
      </c>
      <c r="F25" s="174" t="s">
        <v>7</v>
      </c>
      <c r="G25" s="210">
        <v>0</v>
      </c>
    </row>
    <row r="26" spans="2:11" ht="18" customHeight="1" thickTop="1">
      <c r="B26" s="211" t="s">
        <v>10</v>
      </c>
      <c r="C26" s="211"/>
      <c r="D26" s="211"/>
      <c r="E26" s="211"/>
      <c r="F26" s="211" t="s">
        <v>7</v>
      </c>
      <c r="G26" s="212">
        <f>SUM(G11,G14,G17,G20,G23)</f>
        <v>50</v>
      </c>
      <c r="H26" s="211"/>
      <c r="I26" s="211"/>
      <c r="J26" s="211"/>
    </row>
    <row r="27" spans="2:11">
      <c r="C27" s="174" t="s">
        <v>17</v>
      </c>
      <c r="F27" s="174" t="s">
        <v>7</v>
      </c>
      <c r="G27" s="189">
        <f>SUM(G12,G15,G18,G21,G24)</f>
        <v>0</v>
      </c>
      <c r="H27" s="173"/>
      <c r="I27" s="173"/>
      <c r="J27" s="173"/>
    </row>
    <row r="28" spans="2:11">
      <c r="C28" s="174" t="s">
        <v>18</v>
      </c>
      <c r="F28" s="174" t="s">
        <v>7</v>
      </c>
      <c r="G28" s="189">
        <f>SUM(G13,G16,G19,G22,G25)</f>
        <v>50</v>
      </c>
      <c r="H28" s="173"/>
      <c r="I28" s="173"/>
      <c r="J28" s="173"/>
    </row>
    <row r="30" spans="2:11">
      <c r="H30" s="175" t="s">
        <v>19</v>
      </c>
      <c r="I30" s="175" t="s">
        <v>20</v>
      </c>
      <c r="J30" s="175" t="s">
        <v>21</v>
      </c>
      <c r="K30" s="191"/>
    </row>
    <row r="31" spans="2:11">
      <c r="H31" s="176"/>
      <c r="I31" s="176"/>
    </row>
    <row r="32" spans="2:11">
      <c r="G32" s="181" t="s">
        <v>22</v>
      </c>
      <c r="H32" s="190">
        <f>SUM(SUMPRODUCT(G5,H5))/G5</f>
        <v>0.05</v>
      </c>
      <c r="I32" s="190">
        <f>SUM(SUMPRODUCT(G5,I5))/G5</f>
        <v>0.05</v>
      </c>
      <c r="J32" s="176"/>
    </row>
    <row r="33" spans="7:10">
      <c r="G33" s="181" t="s">
        <v>23</v>
      </c>
      <c r="H33" s="190">
        <f>SUM(SUMPRODUCT(G11,H11),SUMPRODUCT(G14,H14),SUMPRODUCT(G17,H17),SUMPRODUCT(G20,H20),SUMPRODUCT(G23,H23))/G26</f>
        <v>0.05</v>
      </c>
      <c r="I33" s="190">
        <f>SUM(SUMPRODUCT(G11,I11),SUMPRODUCT(G14,I14),SUMPRODUCT(G17,I17),SUMPRODUCT(G20,I20),SUMPRODUCT(G23,I23))/G26</f>
        <v>0.05</v>
      </c>
    </row>
    <row r="34" spans="7:10">
      <c r="G34" s="181" t="s">
        <v>5</v>
      </c>
      <c r="H34" s="176"/>
      <c r="I34" s="176"/>
      <c r="J34" s="190">
        <f>SUM(SUMPRODUCT(G11,J11),SUMPRODUCT(G14,J14),SUMPRODUCT(G17,J17),SUMPRODUCT(G20,J20),SUMPRODUCT(G23,J23))/G26</f>
        <v>1.9999999999999997E-2</v>
      </c>
    </row>
  </sheetData>
  <phoneticPr fontId="2"/>
  <pageMargins left="0.7" right="0.7" top="0.75" bottom="0.75" header="0.3" footer="0.3"/>
  <pageSetup paperSize="8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1:CM113"/>
  <sheetViews>
    <sheetView showGridLines="0" view="pageBreakPreview" topLeftCell="V1" zoomScale="70" zoomScaleNormal="40" zoomScaleSheetLayoutView="70" workbookViewId="0">
      <selection activeCell="AC19" sqref="AC19"/>
    </sheetView>
  </sheetViews>
  <sheetFormatPr baseColWidth="10" defaultColWidth="0" defaultRowHeight="18" zeroHeight="1" outlineLevelCol="1"/>
  <cols>
    <col min="1" max="1" width="4.83203125" style="286" customWidth="1"/>
    <col min="2" max="2" width="40.6640625" style="286" customWidth="1"/>
    <col min="3" max="3" width="40.1640625" style="286" bestFit="1" customWidth="1"/>
    <col min="4" max="4" width="7.33203125" style="286" customWidth="1"/>
    <col min="5" max="5" width="8.5" style="286" bestFit="1" customWidth="1"/>
    <col min="6" max="6" width="11.5" style="286" customWidth="1"/>
    <col min="7" max="7" width="2.5" style="286" customWidth="1"/>
    <col min="8" max="8" width="43.6640625" style="286" customWidth="1"/>
    <col min="9" max="9" width="1.6640625" style="286" customWidth="1"/>
    <col min="10" max="11" width="12.5" style="286" customWidth="1" outlineLevel="1"/>
    <col min="12" max="12" width="1.83203125" style="286" customWidth="1" outlineLevel="1"/>
    <col min="13" max="13" width="42.1640625" style="286" customWidth="1" outlineLevel="1"/>
    <col min="14" max="14" width="11.1640625" style="19" customWidth="1" outlineLevel="1"/>
    <col min="15" max="16" width="24.5" style="286" customWidth="1" outlineLevel="1"/>
    <col min="17" max="17" width="4.6640625" style="286" customWidth="1" outlineLevel="1"/>
    <col min="18" max="18" width="10" style="286" customWidth="1" outlineLevel="1"/>
    <col min="19" max="19" width="19.1640625" style="286" customWidth="1" outlineLevel="1"/>
    <col min="20" max="20" width="7.5" style="286" customWidth="1" outlineLevel="1"/>
    <col min="21" max="21" width="24.5" style="286" customWidth="1" outlineLevel="1"/>
    <col min="22" max="22" width="12" style="286" customWidth="1"/>
    <col min="23" max="23" width="9.6640625" style="286" customWidth="1"/>
    <col min="24" max="24" width="21.5" style="286" customWidth="1"/>
    <col min="25" max="26" width="10.83203125" style="286" customWidth="1"/>
    <col min="27" max="36" width="10.83203125" style="19" customWidth="1"/>
    <col min="37" max="38" width="10.83203125" style="31" customWidth="1"/>
    <col min="39" max="39" width="12" style="31" customWidth="1"/>
    <col min="40" max="40" width="1.6640625" style="31" customWidth="1"/>
    <col min="41" max="41" width="10.33203125" style="31" customWidth="1"/>
    <col min="42" max="45" width="10.33203125" style="19" customWidth="1"/>
    <col min="46" max="49" width="16" style="19" customWidth="1"/>
    <col min="50" max="54" width="10.6640625" style="19" customWidth="1"/>
    <col min="55" max="56" width="12" style="19" customWidth="1"/>
    <col min="57" max="57" width="1.6640625" style="19" customWidth="1"/>
    <col min="58" max="58" width="12" style="31" customWidth="1"/>
    <col min="59" max="59" width="1.5" style="19" customWidth="1"/>
    <col min="60" max="63" width="16" style="19" customWidth="1"/>
    <col min="64" max="70" width="12" style="19" customWidth="1"/>
    <col min="71" max="71" width="16.83203125" style="19" customWidth="1"/>
    <col min="72" max="74" width="12" style="19" customWidth="1"/>
    <col min="75" max="75" width="2.1640625" style="19" customWidth="1"/>
    <col min="76" max="76" width="12" style="19" customWidth="1"/>
    <col min="77" max="77" width="21" style="19" bestFit="1" customWidth="1"/>
    <col min="78" max="78" width="3.33203125" style="19" hidden="1" customWidth="1"/>
    <col min="79" max="79" width="0" style="19" hidden="1" customWidth="1"/>
    <col min="80" max="91" width="0" style="286" hidden="1" customWidth="1"/>
    <col min="92" max="92" width="9" style="286" hidden="1" customWidth="1"/>
    <col min="93" max="16384" width="9" style="286" hidden="1"/>
  </cols>
  <sheetData>
    <row r="1" spans="1:79" ht="15.75" customHeight="1"/>
    <row r="2" spans="1:79">
      <c r="B2" s="4" t="s">
        <v>24</v>
      </c>
      <c r="Y2" s="233"/>
      <c r="Z2" s="2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26"/>
      <c r="AL2" s="226"/>
      <c r="AM2" s="226"/>
      <c r="AO2" s="226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</row>
    <row r="3" spans="1:79">
      <c r="B3" s="260" t="s">
        <v>25</v>
      </c>
      <c r="Y3" s="233"/>
      <c r="Z3" s="2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226"/>
      <c r="AL3" s="226"/>
      <c r="AM3" s="226"/>
      <c r="AO3" s="226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</row>
    <row r="4" spans="1:79">
      <c r="B4" s="261" t="s">
        <v>26</v>
      </c>
      <c r="Y4" s="233"/>
      <c r="Z4" s="2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26"/>
      <c r="AL4" s="226"/>
      <c r="AM4" s="226"/>
      <c r="AO4" s="226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</row>
    <row r="5" spans="1:79" ht="15.75" customHeight="1">
      <c r="B5" s="262" t="s">
        <v>27</v>
      </c>
      <c r="Y5" s="233"/>
      <c r="Z5" s="2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226"/>
      <c r="AL5" s="226"/>
      <c r="AM5" s="226"/>
      <c r="AO5" s="226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</row>
    <row r="6" spans="1:79" ht="15.75" customHeight="1">
      <c r="Y6" s="233"/>
      <c r="Z6" s="2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226"/>
      <c r="AL6" s="226"/>
      <c r="AM6" s="226"/>
      <c r="AO6" s="226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pans="1:79" s="4" customFormat="1" ht="15.75" customHeight="1">
      <c r="A7" s="25" t="s">
        <v>28</v>
      </c>
      <c r="B7" s="25"/>
      <c r="C7" s="25"/>
      <c r="D7" s="25"/>
      <c r="E7" s="25"/>
      <c r="F7" s="25"/>
      <c r="G7" s="25"/>
      <c r="H7" s="25"/>
      <c r="I7" s="25"/>
      <c r="J7" s="24" t="s">
        <v>29</v>
      </c>
      <c r="K7" s="24"/>
      <c r="L7" s="24"/>
      <c r="M7" s="24"/>
      <c r="N7" s="84"/>
      <c r="O7" s="24"/>
      <c r="P7" s="24"/>
      <c r="Q7" s="24"/>
      <c r="R7" s="24"/>
      <c r="S7" s="24"/>
      <c r="T7" s="24"/>
      <c r="U7" s="24"/>
      <c r="V7" s="22" t="s">
        <v>30</v>
      </c>
      <c r="W7" s="22"/>
      <c r="X7" s="22"/>
      <c r="Y7" s="22"/>
      <c r="Z7" s="22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30"/>
      <c r="AL7" s="30"/>
      <c r="AM7" s="30"/>
      <c r="AN7" s="30"/>
      <c r="AO7" s="30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30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</row>
    <row r="8" spans="1:79" s="4" customFormat="1" ht="15.75" customHeight="1">
      <c r="A8" s="263"/>
      <c r="B8" s="263" t="s">
        <v>31</v>
      </c>
      <c r="C8" s="247"/>
      <c r="D8" s="247"/>
      <c r="E8" s="247"/>
      <c r="F8" s="247"/>
      <c r="G8" s="247"/>
      <c r="H8" s="247"/>
      <c r="I8" s="247"/>
      <c r="N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250"/>
      <c r="AL8" s="250"/>
      <c r="AM8" s="250"/>
      <c r="AN8" s="250"/>
      <c r="AO8" s="250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250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1:79" ht="15.75" customHeight="1" thickBot="1">
      <c r="W9" s="54" t="s">
        <v>32</v>
      </c>
      <c r="X9" s="49"/>
      <c r="Y9" s="49"/>
      <c r="AC9" s="8" t="s">
        <v>33</v>
      </c>
    </row>
    <row r="10" spans="1:79" ht="19" customHeight="1">
      <c r="D10" t="s">
        <v>34</v>
      </c>
      <c r="K10" s="19"/>
      <c r="L10" s="19"/>
      <c r="M10" s="19"/>
      <c r="N10" s="19" t="s">
        <v>34</v>
      </c>
      <c r="O10" s="19"/>
      <c r="P10" s="19"/>
      <c r="Q10" s="19" t="s">
        <v>35</v>
      </c>
      <c r="R10" s="19"/>
      <c r="S10" s="19"/>
      <c r="T10" s="19"/>
      <c r="U10" s="19"/>
      <c r="W10" s="10" t="s">
        <v>36</v>
      </c>
      <c r="X10" s="253" t="s">
        <v>37</v>
      </c>
      <c r="Y10" s="12" t="s">
        <v>38</v>
      </c>
      <c r="AC10" s="9" t="s">
        <v>39</v>
      </c>
      <c r="BQ10" s="5"/>
      <c r="BR10" s="5"/>
      <c r="BS10" s="5"/>
      <c r="BT10" s="5"/>
      <c r="BY10" s="5"/>
    </row>
    <row r="11" spans="1:79" ht="15.75" customHeight="1" thickBot="1">
      <c r="A11" s="4" t="s">
        <v>40</v>
      </c>
      <c r="J11" s="4" t="s">
        <v>40</v>
      </c>
      <c r="W11" s="168">
        <f>AL58-BC58</f>
        <v>13</v>
      </c>
      <c r="X11" s="169">
        <f>AM58-BD58</f>
        <v>12.949003952057637</v>
      </c>
      <c r="Y11" s="56">
        <f>X11/AM58</f>
        <v>-1.0569953543044254E-2</v>
      </c>
      <c r="AC11" s="164" t="str">
        <f>IFERROR(XIRR(BV17:BV56,V17:V56),"N/A")</f>
        <v>N/A</v>
      </c>
      <c r="AD11" s="55" t="s">
        <v>41</v>
      </c>
      <c r="BQ11" s="5"/>
      <c r="BR11" s="5"/>
      <c r="BS11" s="5"/>
      <c r="BT11" s="5"/>
      <c r="BY11" s="5"/>
    </row>
    <row r="12" spans="1:79" ht="15.75" customHeight="1">
      <c r="AA12"/>
      <c r="AB12"/>
      <c r="AC12"/>
      <c r="AD12"/>
    </row>
    <row r="13" spans="1:79" ht="15.75" customHeight="1">
      <c r="B13" t="s">
        <v>42</v>
      </c>
      <c r="F13" s="29" t="s">
        <v>43</v>
      </c>
      <c r="J13" t="s">
        <v>42</v>
      </c>
      <c r="O13" t="s">
        <v>44</v>
      </c>
      <c r="P13" t="s">
        <v>45</v>
      </c>
      <c r="Q13" t="s">
        <v>43</v>
      </c>
      <c r="V13" s="5" t="s">
        <v>46</v>
      </c>
      <c r="W13" s="5" t="s">
        <v>47</v>
      </c>
      <c r="X13" s="5" t="s">
        <v>48</v>
      </c>
      <c r="Y13" s="58" t="s">
        <v>2</v>
      </c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102"/>
      <c r="AK13" s="143" t="s">
        <v>49</v>
      </c>
      <c r="AL13" s="144"/>
      <c r="AM13" s="95"/>
      <c r="AN13" s="32"/>
      <c r="AO13" s="202" t="s">
        <v>50</v>
      </c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4"/>
      <c r="BD13" s="205" t="s">
        <v>51</v>
      </c>
      <c r="BE13" s="33"/>
      <c r="BF13" s="19"/>
      <c r="BH13" s="64" t="s">
        <v>52</v>
      </c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133"/>
      <c r="BX13" s="83" t="s">
        <v>53</v>
      </c>
      <c r="BY13" s="83" t="s">
        <v>54</v>
      </c>
    </row>
    <row r="14" spans="1:79" ht="15.75" customHeight="1">
      <c r="B14" t="s">
        <v>55</v>
      </c>
      <c r="D14" t="s">
        <v>56</v>
      </c>
      <c r="F14" s="131" t="s">
        <v>57</v>
      </c>
      <c r="Y14" s="58" t="s">
        <v>58</v>
      </c>
      <c r="Z14" s="59"/>
      <c r="AA14" s="59"/>
      <c r="AB14" s="59"/>
      <c r="AC14" s="60"/>
      <c r="AD14" s="58" t="s">
        <v>59</v>
      </c>
      <c r="AE14" s="59"/>
      <c r="AF14" s="59"/>
      <c r="AG14" s="59"/>
      <c r="AH14" s="59"/>
      <c r="AI14" s="141"/>
      <c r="AJ14" s="104" t="s">
        <v>51</v>
      </c>
      <c r="AK14" s="95"/>
      <c r="AL14" s="34"/>
      <c r="AM14" s="106" t="s">
        <v>51</v>
      </c>
      <c r="AN14" s="32"/>
      <c r="AO14" s="62" t="s">
        <v>58</v>
      </c>
      <c r="AP14" s="61"/>
      <c r="AQ14" s="61"/>
      <c r="AR14" s="61"/>
      <c r="AS14" s="63"/>
      <c r="AT14" s="61" t="s">
        <v>59</v>
      </c>
      <c r="AU14" s="61"/>
      <c r="AV14" s="61"/>
      <c r="AW14" s="61"/>
      <c r="AX14" s="61"/>
      <c r="AY14" s="61"/>
      <c r="AZ14" s="61"/>
      <c r="BA14" s="61"/>
      <c r="BB14" s="63"/>
      <c r="BC14" s="35" t="s">
        <v>51</v>
      </c>
      <c r="BD14" s="35" t="s">
        <v>60</v>
      </c>
      <c r="BE14" s="33"/>
      <c r="BF14" s="19"/>
      <c r="BH14" s="64" t="s">
        <v>58</v>
      </c>
      <c r="BI14" s="65"/>
      <c r="BJ14" s="65"/>
      <c r="BK14" s="65"/>
      <c r="BL14" s="65"/>
      <c r="BM14" s="65"/>
      <c r="BN14" s="66"/>
      <c r="BO14" s="64" t="s">
        <v>59</v>
      </c>
      <c r="BP14" s="65"/>
      <c r="BQ14" s="65"/>
      <c r="BR14" s="65"/>
      <c r="BS14" s="65"/>
      <c r="BT14" s="65"/>
      <c r="BU14" s="66"/>
      <c r="BV14" s="44" t="s">
        <v>51</v>
      </c>
      <c r="BX14" s="90"/>
      <c r="BY14" s="275" t="s">
        <v>61</v>
      </c>
    </row>
    <row r="15" spans="1:79" s="233" customFormat="1" ht="32.25" customHeight="1">
      <c r="N15" s="33"/>
      <c r="Y15" s="39" t="s">
        <v>62</v>
      </c>
      <c r="Z15" s="40" t="s">
        <v>63</v>
      </c>
      <c r="AA15" s="40" t="s">
        <v>64</v>
      </c>
      <c r="AB15" s="40" t="s">
        <v>65</v>
      </c>
      <c r="AC15" s="41" t="s">
        <v>66</v>
      </c>
      <c r="AD15" s="39" t="s">
        <v>67</v>
      </c>
      <c r="AE15" s="40" t="s">
        <v>68</v>
      </c>
      <c r="AF15" s="40" t="s">
        <v>69</v>
      </c>
      <c r="AG15" s="40" t="s">
        <v>70</v>
      </c>
      <c r="AH15" s="40" t="s">
        <v>71</v>
      </c>
      <c r="AI15" s="42" t="s">
        <v>72</v>
      </c>
      <c r="AJ15" s="96"/>
      <c r="AK15" s="82" t="s">
        <v>73</v>
      </c>
      <c r="AL15" s="42" t="s">
        <v>10</v>
      </c>
      <c r="AM15" s="108" t="s">
        <v>60</v>
      </c>
      <c r="AN15" s="32"/>
      <c r="AO15" s="85" t="s">
        <v>62</v>
      </c>
      <c r="AP15" s="86" t="s">
        <v>63</v>
      </c>
      <c r="AQ15" s="86" t="s">
        <v>64</v>
      </c>
      <c r="AR15" s="86" t="s">
        <v>74</v>
      </c>
      <c r="AS15" s="43" t="s">
        <v>66</v>
      </c>
      <c r="AT15" s="86" t="s">
        <v>75</v>
      </c>
      <c r="AU15" s="86" t="s">
        <v>76</v>
      </c>
      <c r="AV15" s="86" t="s">
        <v>77</v>
      </c>
      <c r="AW15" s="86" t="s">
        <v>78</v>
      </c>
      <c r="AX15" s="86" t="s">
        <v>79</v>
      </c>
      <c r="AY15" s="86" t="s">
        <v>80</v>
      </c>
      <c r="AZ15" s="86" t="s">
        <v>70</v>
      </c>
      <c r="BA15" s="86" t="s">
        <v>71</v>
      </c>
      <c r="BB15" s="43" t="s">
        <v>72</v>
      </c>
      <c r="BC15" s="87"/>
      <c r="BD15" s="43"/>
      <c r="BE15" s="33"/>
      <c r="BF15" s="252" t="s">
        <v>81</v>
      </c>
      <c r="BG15" s="33"/>
      <c r="BH15" s="45" t="s">
        <v>75</v>
      </c>
      <c r="BI15" s="37" t="s">
        <v>76</v>
      </c>
      <c r="BJ15" s="37" t="s">
        <v>77</v>
      </c>
      <c r="BK15" s="37" t="s">
        <v>78</v>
      </c>
      <c r="BL15" s="37" t="s">
        <v>82</v>
      </c>
      <c r="BM15" s="37" t="s">
        <v>65</v>
      </c>
      <c r="BN15" s="38" t="s">
        <v>66</v>
      </c>
      <c r="BO15" s="37" t="s">
        <v>83</v>
      </c>
      <c r="BP15" s="37" t="s">
        <v>84</v>
      </c>
      <c r="BQ15" s="37" t="s">
        <v>85</v>
      </c>
      <c r="BR15" s="37" t="s">
        <v>86</v>
      </c>
      <c r="BS15" s="37" t="s">
        <v>87</v>
      </c>
      <c r="BT15" s="37" t="s">
        <v>88</v>
      </c>
      <c r="BU15" s="38" t="s">
        <v>72</v>
      </c>
      <c r="BV15" s="38"/>
      <c r="BW15" s="33"/>
      <c r="BX15" s="91"/>
      <c r="BY15" s="274">
        <f>IF(SUM(BY17:BY46)=0,0,1)</f>
        <v>0</v>
      </c>
      <c r="BZ15" s="33"/>
    </row>
    <row r="16" spans="1:79" ht="15.75" customHeight="1">
      <c r="B16" t="s">
        <v>89</v>
      </c>
      <c r="C16" t="s">
        <v>90</v>
      </c>
      <c r="D16" t="s">
        <v>91</v>
      </c>
      <c r="F16" s="1">
        <v>3</v>
      </c>
      <c r="J16" s="4" t="s">
        <v>92</v>
      </c>
      <c r="N16" s="19" t="s">
        <v>91</v>
      </c>
      <c r="O16" s="20">
        <f>SUM(F16:F17)</f>
        <v>3</v>
      </c>
      <c r="V16" s="103" t="s">
        <v>49</v>
      </c>
      <c r="Y16" s="166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63"/>
      <c r="AL16" s="155">
        <f>-SUM(BS17,SUM(BR17:BR46),O105,O110)</f>
        <v>0</v>
      </c>
      <c r="AM16" s="155">
        <f>AL16*BF16</f>
        <v>0</v>
      </c>
      <c r="AN16" s="163"/>
      <c r="AO16" s="148"/>
      <c r="AP16" s="149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67"/>
      <c r="BE16" s="163"/>
      <c r="BF16" s="105">
        <v>1</v>
      </c>
      <c r="BH16" s="148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149"/>
      <c r="BT16" s="149"/>
      <c r="BU16" s="149"/>
      <c r="BV16" s="149"/>
      <c r="BW16" s="150"/>
      <c r="BX16" s="151"/>
      <c r="BY16" s="270"/>
      <c r="CA16"/>
    </row>
    <row r="17" spans="1:79" ht="15.75" customHeight="1">
      <c r="C17" t="s">
        <v>93</v>
      </c>
      <c r="D17" t="s">
        <v>91</v>
      </c>
      <c r="F17" s="1">
        <v>0</v>
      </c>
      <c r="J17" s="113"/>
      <c r="V17" s="57">
        <f>IF(W17=1,DATE(YEAR($F$18)+(MONTH($F$18)&gt;=4),4,0),EOMONTH(V15,12))</f>
        <v>45747</v>
      </c>
      <c r="W17" s="6">
        <v>1</v>
      </c>
      <c r="X17" s="269" t="str">
        <f t="shared" ref="X17:X56" si="0">IF(W17&gt;$O$16,"-",IF($W17&lt;=$F$16,"整備期間","維持管理・運営期間"))</f>
        <v>整備期間</v>
      </c>
      <c r="Y17" s="158">
        <f t="shared" ref="Y17:Y56" si="1">IF($W17=$F$16,$O$61,0)</f>
        <v>0</v>
      </c>
      <c r="Z17" s="156">
        <f t="shared" ref="Z17:Z56" si="2">IF($W17=$F$16,$O$63,0)</f>
        <v>0</v>
      </c>
      <c r="AA17" s="156">
        <f t="shared" ref="AA17:AA56" si="3">IF($W17=$F$16,$O$62,0)</f>
        <v>0</v>
      </c>
      <c r="AB17" s="156">
        <f t="shared" ref="AB17:AB56" si="4">IF(X17="維持管理・運営期間",$F$56,0)</f>
        <v>0</v>
      </c>
      <c r="AC17" s="157">
        <f t="shared" ref="AC17:AC56" si="5">SUM(Y17:Z17,AB17)</f>
        <v>0</v>
      </c>
      <c r="AD17" s="158">
        <f t="shared" ref="AD17:AD56" si="6">IF($W17=$F$16,$O$30,0)</f>
        <v>0</v>
      </c>
      <c r="AE17" s="156">
        <f t="shared" ref="AE17:AE56" si="7">IF($X17="維持管理・運営期間",$O$41,0)</f>
        <v>0</v>
      </c>
      <c r="AF17" s="156">
        <f t="shared" ref="AF17:AF56" si="8">IF(AND($W17&gt;0,$W17&lt;=$O$16),$E$45,0)</f>
        <v>10</v>
      </c>
      <c r="AG17" s="156">
        <f>IF(AND(SUM($AA$16:AA16)&gt;0,SUM($AG$16:AG16)&lt;$O$62,$W17&gt;=$O$65),$O$64,0)</f>
        <v>0</v>
      </c>
      <c r="AH17" s="156">
        <f>IF(SUM($AA15:$AA$17)&gt;0,($O$62-SUM($AG15:$AG$17))*$F$65,0)</f>
        <v>0</v>
      </c>
      <c r="AI17" s="157">
        <f t="shared" ref="AI17:AI56" si="9">SUM(AD17:AF17)</f>
        <v>10</v>
      </c>
      <c r="AJ17" s="156">
        <f t="shared" ref="AJ17:AJ56" si="10">AC17-AI17</f>
        <v>-10</v>
      </c>
      <c r="AK17" s="159"/>
      <c r="AL17" s="160"/>
      <c r="AM17" s="157">
        <f t="shared" ref="AM17:AM56" si="11">AJ17*$BF17</f>
        <v>-9.6665055582406971</v>
      </c>
      <c r="AN17" s="161"/>
      <c r="AO17" s="158">
        <f t="shared" ref="AO17:AO56" si="12">IF($W17=$F$16,$P$61,0)</f>
        <v>0</v>
      </c>
      <c r="AP17" s="156">
        <f t="shared" ref="AP17:AP56" si="13">IF($W17=$F$16,$P$63,0)</f>
        <v>0</v>
      </c>
      <c r="AQ17" s="156">
        <f t="shared" ref="AQ17:AQ56" si="14">IF($W17=$F$16,$P$62,0)</f>
        <v>0</v>
      </c>
      <c r="AR17" s="156">
        <f t="shared" ref="AR17:AR56" si="15">IF($W17&lt;$O$16,IF(W17=$F$16,$U$92,$U$93),0)</f>
        <v>0</v>
      </c>
      <c r="AS17" s="157">
        <f t="shared" ref="AS17:AS56" si="16">SUM(AO17:AP17,AR17)</f>
        <v>0</v>
      </c>
      <c r="AT17" s="156">
        <f t="shared" ref="AT17:AT56" si="17">IF(W17=$F$16,$P$30,0)</f>
        <v>0</v>
      </c>
      <c r="AU17" s="156">
        <f t="shared" ref="AU17:AU56" si="18">IFERROR(-PPMT($P$36,W17-$F$16,$F$17,SUM(P$31,P$51)),0)</f>
        <v>0</v>
      </c>
      <c r="AV17" s="156">
        <f t="shared" ref="AV17:AV56" si="19">IFERROR(-IPMT($P$36,W17-$F$16,$F$17,SUM($P$31,$P$51)),0)</f>
        <v>0</v>
      </c>
      <c r="AW17" s="156">
        <f t="shared" ref="AW17:AW56" si="20">IF(AND(W17&gt;$F$16,W17&lt;=SUM($F$16:$F$17)),$P$43,0)</f>
        <v>0</v>
      </c>
      <c r="AX17" s="156">
        <f t="shared" ref="AX17:AX56" si="21">IF($W17=1,$F$44,0)+IF(AND($W17&gt;0,$W17&lt;=$O$16),$F$45,0)</f>
        <v>31</v>
      </c>
      <c r="AY17" s="156">
        <f t="shared" ref="AY17:AY56" si="22">IF(AND(W17&gt;$F$16,W17&lt;=SUM($F$16:$F$17)),$P$54,0)</f>
        <v>0</v>
      </c>
      <c r="AZ17" s="156">
        <f>IF(AND(SUM($AQ$16:AQ16)&gt;0,SUM($AZ$16:AZ16)&lt;$P$62,$W17&gt;=$P$65),$P$64,0)</f>
        <v>0</v>
      </c>
      <c r="BA17" s="156">
        <f>IF(SUM($AQ16:$AQ$17)&gt;0,($P$62-SUM($AZ16:$AZ$17))*$F$65,0)</f>
        <v>0</v>
      </c>
      <c r="BB17" s="157">
        <f t="shared" ref="BB17:BB56" si="23">SUM(AT17:AY17)</f>
        <v>31</v>
      </c>
      <c r="BC17" s="156">
        <f t="shared" ref="BC17:BC56" si="24">AS17-BB17</f>
        <v>-31</v>
      </c>
      <c r="BD17" s="157">
        <f t="shared" ref="BD17:BD56" si="25">BC17*$BF17</f>
        <v>-29.966167230546159</v>
      </c>
      <c r="BE17" s="163"/>
      <c r="BF17" s="46">
        <f>1/(1+$O$22)</f>
        <v>0.96665055582406967</v>
      </c>
      <c r="BH17" s="152">
        <f t="shared" ref="BH17:BH56" si="26">AT17</f>
        <v>0</v>
      </c>
      <c r="BI17" s="152">
        <f t="shared" ref="BI17:BI56" si="27">AU17</f>
        <v>0</v>
      </c>
      <c r="BJ17" s="153">
        <f t="shared" ref="BJ17:BJ56" si="28">AV17</f>
        <v>0</v>
      </c>
      <c r="BK17" s="153">
        <f t="shared" ref="BK17:BK56" si="29">AW17</f>
        <v>0</v>
      </c>
      <c r="BL17" s="153">
        <f t="shared" ref="BL17:BL56" si="30">AY17</f>
        <v>0</v>
      </c>
      <c r="BM17" s="153">
        <f t="shared" ref="BM17:BM56" si="31">IF($W17&gt;$F$16,$F$56,0)</f>
        <v>0</v>
      </c>
      <c r="BN17" s="154">
        <f t="shared" ref="BN17:BN56" si="32">SUM(BH17:BM17)</f>
        <v>0</v>
      </c>
      <c r="BO17" s="153">
        <f t="shared" ref="BO17:BO56" si="33">IF($W17=$F$16,$P$32,0)</f>
        <v>0</v>
      </c>
      <c r="BP17" s="153">
        <f t="shared" ref="BP17:BP56" si="34">IF(AND(W17&gt;$F$16,W17&lt;=SUM($F$16:$F$17)),$P$41,0)</f>
        <v>0</v>
      </c>
      <c r="BQ17" s="153">
        <f t="shared" ref="BQ17:BQ56" si="35">IFERROR(-IPMT($P$67,W17-$F$16,$F$17,SUM(P$31,P$51)),0)</f>
        <v>0</v>
      </c>
      <c r="BR17" s="153">
        <f t="shared" ref="BR17:BR56" si="36">IF($W17&lt;=$O$16,$F$105,0)</f>
        <v>0</v>
      </c>
      <c r="BS17" s="220">
        <f t="shared" ref="BS17:BS56" si="37">IF($W17=1,SUM($O$103,$O$105),0)</f>
        <v>0</v>
      </c>
      <c r="BT17" s="153">
        <f t="shared" ref="BT17:BT56" si="38">IF($W17&lt;$O$16,IF(W17=$F$16,$P$93,$P$94),0)</f>
        <v>0</v>
      </c>
      <c r="BU17" s="154">
        <f t="shared" ref="BU17:BU56" si="39">SUM(BO17:BP17,BR17:BT17)</f>
        <v>0</v>
      </c>
      <c r="BV17" s="154">
        <f t="shared" ref="BV17:BV56" si="40">BN17-BU17</f>
        <v>0</v>
      </c>
      <c r="BW17" s="150"/>
      <c r="BX17" s="155">
        <f t="shared" ref="BX17:BX56" si="41">IFERROR(-PPMT($P$67,$W17-$F$16,$F$17,SUM(P$31,P$51)),0)</f>
        <v>0</v>
      </c>
      <c r="BY17" s="271"/>
      <c r="CA17"/>
    </row>
    <row r="18" spans="1:79" ht="15.75" customHeight="1">
      <c r="C18" t="s">
        <v>94</v>
      </c>
      <c r="F18" s="67">
        <v>45383</v>
      </c>
      <c r="J18" s="113"/>
      <c r="V18" s="57">
        <f t="shared" ref="V18:V56" si="42">IF(W18=1,DATE(YEAR($F$18)+(MONTH($F$18)&gt;=4),4,0),EOMONTH(V17,12))</f>
        <v>46112</v>
      </c>
      <c r="W18" s="7">
        <v>2</v>
      </c>
      <c r="X18" s="269" t="str">
        <f t="shared" si="0"/>
        <v>整備期間</v>
      </c>
      <c r="Y18" s="158">
        <f t="shared" si="1"/>
        <v>0</v>
      </c>
      <c r="Z18" s="156">
        <f t="shared" si="2"/>
        <v>0</v>
      </c>
      <c r="AA18" s="156">
        <f t="shared" si="3"/>
        <v>0</v>
      </c>
      <c r="AB18" s="156">
        <f t="shared" si="4"/>
        <v>0</v>
      </c>
      <c r="AC18" s="157">
        <f t="shared" si="5"/>
        <v>0</v>
      </c>
      <c r="AD18" s="158">
        <f t="shared" si="6"/>
        <v>0</v>
      </c>
      <c r="AE18" s="156">
        <f t="shared" si="7"/>
        <v>0</v>
      </c>
      <c r="AF18" s="156">
        <f t="shared" si="8"/>
        <v>10</v>
      </c>
      <c r="AG18" s="156">
        <f>IF(AND(SUM($AA$16:AA17)&gt;0,SUM($AG$16:AG17)&lt;$O$62,$W18&gt;=$O$65),$O$64,0)</f>
        <v>0</v>
      </c>
      <c r="AH18" s="153">
        <f>IF(SUM($AA$17:$AA17)&gt;0,($O$62-SUM($AG$17:$AG17))*$F$65,0)</f>
        <v>0</v>
      </c>
      <c r="AI18" s="157">
        <f t="shared" si="9"/>
        <v>10</v>
      </c>
      <c r="AJ18" s="153">
        <f t="shared" si="10"/>
        <v>-10</v>
      </c>
      <c r="AK18" s="159"/>
      <c r="AL18" s="160"/>
      <c r="AM18" s="154">
        <f t="shared" si="11"/>
        <v>-9.3441329707498273</v>
      </c>
      <c r="AN18" s="161"/>
      <c r="AO18" s="152">
        <f t="shared" si="12"/>
        <v>0</v>
      </c>
      <c r="AP18" s="153">
        <f t="shared" si="13"/>
        <v>0</v>
      </c>
      <c r="AQ18" s="153">
        <f t="shared" si="14"/>
        <v>0</v>
      </c>
      <c r="AR18" s="156">
        <f t="shared" si="15"/>
        <v>0</v>
      </c>
      <c r="AS18" s="157">
        <f t="shared" si="16"/>
        <v>0</v>
      </c>
      <c r="AT18" s="156">
        <f t="shared" si="17"/>
        <v>0</v>
      </c>
      <c r="AU18" s="156">
        <f t="shared" si="18"/>
        <v>0</v>
      </c>
      <c r="AV18" s="156">
        <f t="shared" si="19"/>
        <v>0</v>
      </c>
      <c r="AW18" s="156">
        <f t="shared" si="20"/>
        <v>0</v>
      </c>
      <c r="AX18" s="156">
        <f t="shared" si="21"/>
        <v>6</v>
      </c>
      <c r="AY18" s="156">
        <f t="shared" si="22"/>
        <v>0</v>
      </c>
      <c r="AZ18" s="156">
        <f>IF(AND(SUM($AQ$16:AQ17)&gt;0,SUM($AZ$16:AZ17)&lt;$P$62,$W18&gt;=$P$65),$P$64,0)</f>
        <v>0</v>
      </c>
      <c r="BA18" s="156">
        <f>IF(SUM($AQ17:$AQ$17)&gt;0,($P$62-SUM($AZ17:$AZ$17))*$F$65,0)</f>
        <v>0</v>
      </c>
      <c r="BB18" s="157">
        <f t="shared" si="23"/>
        <v>6</v>
      </c>
      <c r="BC18" s="153">
        <f t="shared" si="24"/>
        <v>-6</v>
      </c>
      <c r="BD18" s="154">
        <f t="shared" si="25"/>
        <v>-5.6064797824498971</v>
      </c>
      <c r="BE18" s="163"/>
      <c r="BF18" s="46">
        <f t="shared" ref="BF18:BF56" si="43">BF17/(1+$O$22)</f>
        <v>0.93441329707498277</v>
      </c>
      <c r="BH18" s="152">
        <f t="shared" si="26"/>
        <v>0</v>
      </c>
      <c r="BI18" s="152">
        <f t="shared" si="27"/>
        <v>0</v>
      </c>
      <c r="BJ18" s="153">
        <f t="shared" si="28"/>
        <v>0</v>
      </c>
      <c r="BK18" s="153">
        <f t="shared" si="29"/>
        <v>0</v>
      </c>
      <c r="BL18" s="153">
        <f t="shared" si="30"/>
        <v>0</v>
      </c>
      <c r="BM18" s="153">
        <f t="shared" si="31"/>
        <v>0</v>
      </c>
      <c r="BN18" s="154">
        <f t="shared" si="32"/>
        <v>0</v>
      </c>
      <c r="BO18" s="153">
        <f t="shared" si="33"/>
        <v>0</v>
      </c>
      <c r="BP18" s="153">
        <f t="shared" si="34"/>
        <v>0</v>
      </c>
      <c r="BQ18" s="153">
        <f t="shared" si="35"/>
        <v>0</v>
      </c>
      <c r="BR18" s="153">
        <f t="shared" si="36"/>
        <v>0</v>
      </c>
      <c r="BS18" s="220">
        <f t="shared" si="37"/>
        <v>0</v>
      </c>
      <c r="BT18" s="153">
        <f t="shared" si="38"/>
        <v>0</v>
      </c>
      <c r="BU18" s="154">
        <f t="shared" si="39"/>
        <v>0</v>
      </c>
      <c r="BV18" s="154">
        <f t="shared" si="40"/>
        <v>0</v>
      </c>
      <c r="BW18" s="150"/>
      <c r="BX18" s="155">
        <f t="shared" si="41"/>
        <v>0</v>
      </c>
      <c r="BY18" s="272"/>
      <c r="CA18"/>
    </row>
    <row r="19" spans="1:79" ht="15.75" customHeight="1">
      <c r="C19" t="s">
        <v>95</v>
      </c>
      <c r="F19" s="134">
        <f>EOMONTH(F18,12*F16-1)</f>
        <v>46477</v>
      </c>
      <c r="J19" s="113"/>
      <c r="V19" s="57">
        <f t="shared" si="42"/>
        <v>46477</v>
      </c>
      <c r="W19" s="7">
        <v>3</v>
      </c>
      <c r="X19" s="269" t="str">
        <f t="shared" si="0"/>
        <v>整備期間</v>
      </c>
      <c r="Y19" s="158">
        <f t="shared" si="1"/>
        <v>1140</v>
      </c>
      <c r="Z19" s="156">
        <f t="shared" si="2"/>
        <v>384.75</v>
      </c>
      <c r="AA19" s="156">
        <f t="shared" si="3"/>
        <v>1282.5</v>
      </c>
      <c r="AB19" s="156">
        <f t="shared" si="4"/>
        <v>0</v>
      </c>
      <c r="AC19" s="157">
        <f t="shared" si="5"/>
        <v>1524.75</v>
      </c>
      <c r="AD19" s="158">
        <f t="shared" si="6"/>
        <v>2850</v>
      </c>
      <c r="AE19" s="156">
        <f t="shared" si="7"/>
        <v>0</v>
      </c>
      <c r="AF19" s="156">
        <f t="shared" si="8"/>
        <v>10</v>
      </c>
      <c r="AG19" s="156">
        <f>IF(AND(SUM($AA$16:AA18)&gt;0,SUM($AG$16:AG18)&lt;$O$62,$W19&gt;=$O$65),$O$64,0)</f>
        <v>0</v>
      </c>
      <c r="AH19" s="153">
        <f>IF(SUM($AA$17:$AA18)&gt;0,($O$62-SUM($AG$17:$AG18))*$F$65,0)</f>
        <v>0</v>
      </c>
      <c r="AI19" s="157">
        <f t="shared" si="9"/>
        <v>2860</v>
      </c>
      <c r="AJ19" s="153">
        <f t="shared" si="10"/>
        <v>-1335.25</v>
      </c>
      <c r="AK19" s="159"/>
      <c r="AL19" s="160"/>
      <c r="AM19" s="154">
        <f t="shared" si="11"/>
        <v>-1206.0660753208031</v>
      </c>
      <c r="AN19" s="161"/>
      <c r="AO19" s="152">
        <f t="shared" si="12"/>
        <v>1140</v>
      </c>
      <c r="AP19" s="153">
        <f t="shared" si="13"/>
        <v>384.75</v>
      </c>
      <c r="AQ19" s="153">
        <f t="shared" si="14"/>
        <v>1282.5</v>
      </c>
      <c r="AR19" s="156">
        <f t="shared" si="15"/>
        <v>0</v>
      </c>
      <c r="AS19" s="157">
        <f t="shared" si="16"/>
        <v>1524.75</v>
      </c>
      <c r="AT19" s="156">
        <f t="shared" si="17"/>
        <v>2850</v>
      </c>
      <c r="AU19" s="156">
        <f t="shared" si="18"/>
        <v>0</v>
      </c>
      <c r="AV19" s="156">
        <f t="shared" si="19"/>
        <v>0</v>
      </c>
      <c r="AW19" s="156">
        <f t="shared" si="20"/>
        <v>0</v>
      </c>
      <c r="AX19" s="156">
        <f t="shared" si="21"/>
        <v>6</v>
      </c>
      <c r="AY19" s="156">
        <f t="shared" si="22"/>
        <v>0</v>
      </c>
      <c r="AZ19" s="156">
        <f>IF(AND(SUM($AQ$16:AQ18)&gt;0,SUM($AZ$16:AZ18)&lt;$P$62,$W19&gt;=$P$65),$P$64,0)</f>
        <v>0</v>
      </c>
      <c r="BA19" s="156">
        <f>IF(SUM($AQ$17:$AQ18)&gt;0,($P$62-SUM($AZ$17:$AZ18))*$F$65,0)</f>
        <v>0</v>
      </c>
      <c r="BB19" s="157">
        <f t="shared" si="23"/>
        <v>2856</v>
      </c>
      <c r="BC19" s="153">
        <f t="shared" si="24"/>
        <v>-1331.25</v>
      </c>
      <c r="BD19" s="154">
        <f t="shared" si="25"/>
        <v>-1202.4530707888553</v>
      </c>
      <c r="BE19" s="163"/>
      <c r="BF19" s="46">
        <f t="shared" si="43"/>
        <v>0.9032511329869336</v>
      </c>
      <c r="BH19" s="152">
        <f t="shared" si="26"/>
        <v>2850</v>
      </c>
      <c r="BI19" s="152">
        <f t="shared" si="27"/>
        <v>0</v>
      </c>
      <c r="BJ19" s="153">
        <f t="shared" si="28"/>
        <v>0</v>
      </c>
      <c r="BK19" s="153">
        <f t="shared" si="29"/>
        <v>0</v>
      </c>
      <c r="BL19" s="153">
        <f t="shared" si="30"/>
        <v>0</v>
      </c>
      <c r="BM19" s="153">
        <f t="shared" si="31"/>
        <v>0</v>
      </c>
      <c r="BN19" s="154">
        <f t="shared" si="32"/>
        <v>2850</v>
      </c>
      <c r="BO19" s="153">
        <f t="shared" si="33"/>
        <v>2850</v>
      </c>
      <c r="BP19" s="153">
        <f t="shared" si="34"/>
        <v>0</v>
      </c>
      <c r="BQ19" s="153">
        <f t="shared" si="35"/>
        <v>0</v>
      </c>
      <c r="BR19" s="153">
        <f t="shared" si="36"/>
        <v>0</v>
      </c>
      <c r="BS19" s="220">
        <f t="shared" si="37"/>
        <v>0</v>
      </c>
      <c r="BT19" s="153">
        <f t="shared" si="38"/>
        <v>0</v>
      </c>
      <c r="BU19" s="154">
        <f t="shared" si="39"/>
        <v>2850</v>
      </c>
      <c r="BV19" s="154">
        <f t="shared" si="40"/>
        <v>0</v>
      </c>
      <c r="BW19" s="150"/>
      <c r="BX19" s="155">
        <f t="shared" si="41"/>
        <v>0</v>
      </c>
      <c r="BY19" s="272"/>
      <c r="CA19"/>
    </row>
    <row r="20" spans="1:79" ht="15.75" customHeight="1">
      <c r="C20" t="s">
        <v>96</v>
      </c>
      <c r="F20" s="134">
        <f>F19+1</f>
        <v>46478</v>
      </c>
      <c r="V20" s="57">
        <f t="shared" si="42"/>
        <v>46843</v>
      </c>
      <c r="W20" s="26">
        <v>4</v>
      </c>
      <c r="X20" s="269" t="str">
        <f t="shared" si="0"/>
        <v>-</v>
      </c>
      <c r="Y20" s="158">
        <f t="shared" si="1"/>
        <v>0</v>
      </c>
      <c r="Z20" s="156">
        <f t="shared" si="2"/>
        <v>0</v>
      </c>
      <c r="AA20" s="156">
        <f t="shared" si="3"/>
        <v>0</v>
      </c>
      <c r="AB20" s="156">
        <f t="shared" si="4"/>
        <v>0</v>
      </c>
      <c r="AC20" s="157">
        <f t="shared" si="5"/>
        <v>0</v>
      </c>
      <c r="AD20" s="158">
        <f t="shared" si="6"/>
        <v>0</v>
      </c>
      <c r="AE20" s="156">
        <f t="shared" si="7"/>
        <v>0</v>
      </c>
      <c r="AF20" s="156">
        <f t="shared" si="8"/>
        <v>0</v>
      </c>
      <c r="AG20" s="156">
        <f>IF(AND(SUM($AA$16:AA19)&gt;0,SUM($AG$16:AG19)&lt;$O$62,$W20&gt;=$O$65),$O$64,0)</f>
        <v>0</v>
      </c>
      <c r="AH20" s="153">
        <f>IF(SUM($AA$17:$AA19)&gt;0,($O$62-SUM($AG$17:$AG19))*$F$65,0)</f>
        <v>19.237500000000001</v>
      </c>
      <c r="AI20" s="157">
        <f t="shared" si="9"/>
        <v>0</v>
      </c>
      <c r="AJ20" s="153">
        <f t="shared" si="10"/>
        <v>0</v>
      </c>
      <c r="AK20" s="155">
        <f>(SUM($P$31,$P$51)-SUM($AU$17:AU19))*$O$109</f>
        <v>0</v>
      </c>
      <c r="AL20" s="160"/>
      <c r="AM20" s="154">
        <f t="shared" si="11"/>
        <v>0</v>
      </c>
      <c r="AN20" s="161"/>
      <c r="AO20" s="152">
        <f t="shared" si="12"/>
        <v>0</v>
      </c>
      <c r="AP20" s="153">
        <f t="shared" si="13"/>
        <v>0</v>
      </c>
      <c r="AQ20" s="153">
        <f t="shared" si="14"/>
        <v>0</v>
      </c>
      <c r="AR20" s="156">
        <f t="shared" si="15"/>
        <v>0</v>
      </c>
      <c r="AS20" s="157">
        <f t="shared" si="16"/>
        <v>0</v>
      </c>
      <c r="AT20" s="156">
        <f t="shared" si="17"/>
        <v>0</v>
      </c>
      <c r="AU20" s="156">
        <f t="shared" si="18"/>
        <v>0</v>
      </c>
      <c r="AV20" s="156">
        <f t="shared" si="19"/>
        <v>0</v>
      </c>
      <c r="AW20" s="156">
        <f t="shared" si="20"/>
        <v>0</v>
      </c>
      <c r="AX20" s="156">
        <f t="shared" si="21"/>
        <v>0</v>
      </c>
      <c r="AY20" s="156">
        <f t="shared" si="22"/>
        <v>0</v>
      </c>
      <c r="AZ20" s="156">
        <f>IF(AND(SUM($AQ$16:AQ19)&gt;0,SUM($AZ$16:AZ19)&lt;$P$62,$W20&gt;=$P$65),$P$64,0)</f>
        <v>0</v>
      </c>
      <c r="BA20" s="156">
        <f>IF(SUM($AQ$17:$AQ19)&gt;0,($P$62-SUM($AZ$17:$AZ19))*$F$65,0)</f>
        <v>19.237500000000001</v>
      </c>
      <c r="BB20" s="157">
        <f t="shared" si="23"/>
        <v>0</v>
      </c>
      <c r="BC20" s="153">
        <f t="shared" si="24"/>
        <v>0</v>
      </c>
      <c r="BD20" s="154">
        <f t="shared" si="25"/>
        <v>0</v>
      </c>
      <c r="BE20" s="163"/>
      <c r="BF20" s="46">
        <f t="shared" si="43"/>
        <v>0.87312820975053995</v>
      </c>
      <c r="BH20" s="152">
        <f t="shared" si="26"/>
        <v>0</v>
      </c>
      <c r="BI20" s="152">
        <f t="shared" si="27"/>
        <v>0</v>
      </c>
      <c r="BJ20" s="153">
        <f t="shared" si="28"/>
        <v>0</v>
      </c>
      <c r="BK20" s="153">
        <f t="shared" si="29"/>
        <v>0</v>
      </c>
      <c r="BL20" s="153">
        <f t="shared" si="30"/>
        <v>0</v>
      </c>
      <c r="BM20" s="153">
        <f t="shared" si="31"/>
        <v>0</v>
      </c>
      <c r="BN20" s="154">
        <f t="shared" si="32"/>
        <v>0</v>
      </c>
      <c r="BO20" s="153">
        <f t="shared" si="33"/>
        <v>0</v>
      </c>
      <c r="BP20" s="153">
        <f t="shared" si="34"/>
        <v>0</v>
      </c>
      <c r="BQ20" s="153">
        <f t="shared" si="35"/>
        <v>0</v>
      </c>
      <c r="BR20" s="153">
        <f t="shared" si="36"/>
        <v>0</v>
      </c>
      <c r="BS20" s="220">
        <f t="shared" si="37"/>
        <v>0</v>
      </c>
      <c r="BT20" s="153">
        <f t="shared" si="38"/>
        <v>0</v>
      </c>
      <c r="BU20" s="154">
        <f t="shared" si="39"/>
        <v>0</v>
      </c>
      <c r="BV20" s="154">
        <f t="shared" si="40"/>
        <v>0</v>
      </c>
      <c r="BW20" s="150"/>
      <c r="BX20" s="155">
        <f t="shared" si="41"/>
        <v>0</v>
      </c>
      <c r="BY20" s="273">
        <f t="shared" ref="BY20:BY56" si="44">IF(BV20-BX20&gt;=0,0,1)</f>
        <v>0</v>
      </c>
      <c r="CA20"/>
    </row>
    <row r="21" spans="1:79" ht="15.75" customHeight="1">
      <c r="C21" t="s">
        <v>97</v>
      </c>
      <c r="F21" s="134">
        <f>EOMONTH(F20,12*F17-1)</f>
        <v>46477</v>
      </c>
      <c r="V21" s="57">
        <f t="shared" si="42"/>
        <v>47208</v>
      </c>
      <c r="W21" s="26">
        <v>5</v>
      </c>
      <c r="X21" s="269" t="str">
        <f t="shared" si="0"/>
        <v>-</v>
      </c>
      <c r="Y21" s="158">
        <f t="shared" si="1"/>
        <v>0</v>
      </c>
      <c r="Z21" s="156">
        <f t="shared" si="2"/>
        <v>0</v>
      </c>
      <c r="AA21" s="156">
        <f t="shared" si="3"/>
        <v>0</v>
      </c>
      <c r="AB21" s="156">
        <f t="shared" si="4"/>
        <v>0</v>
      </c>
      <c r="AC21" s="157">
        <f t="shared" si="5"/>
        <v>0</v>
      </c>
      <c r="AD21" s="158">
        <f t="shared" si="6"/>
        <v>0</v>
      </c>
      <c r="AE21" s="156">
        <f t="shared" si="7"/>
        <v>0</v>
      </c>
      <c r="AF21" s="156">
        <f t="shared" si="8"/>
        <v>0</v>
      </c>
      <c r="AG21" s="156">
        <f>IF(AND(SUM($AA$16:AA20)&gt;0,SUM($AG$16:AG20)&lt;$O$62,$W21&gt;=$O$65),$O$64,0)</f>
        <v>0</v>
      </c>
      <c r="AH21" s="153">
        <f>IF(SUM($AA$17:$AA20)&gt;0,($O$62-SUM($AG$17:$AG20))*$F$65,0)</f>
        <v>19.237500000000001</v>
      </c>
      <c r="AI21" s="157">
        <f t="shared" si="9"/>
        <v>0</v>
      </c>
      <c r="AJ21" s="153">
        <f t="shared" si="10"/>
        <v>0</v>
      </c>
      <c r="AK21" s="155">
        <f>(SUM($P$31,$P$51)-SUM($AU$17:AU20))*$O$109</f>
        <v>0</v>
      </c>
      <c r="AL21" s="160"/>
      <c r="AM21" s="154">
        <f t="shared" si="11"/>
        <v>0</v>
      </c>
      <c r="AN21" s="161"/>
      <c r="AO21" s="152">
        <f t="shared" si="12"/>
        <v>0</v>
      </c>
      <c r="AP21" s="153">
        <f t="shared" si="13"/>
        <v>0</v>
      </c>
      <c r="AQ21" s="153">
        <f t="shared" si="14"/>
        <v>0</v>
      </c>
      <c r="AR21" s="156">
        <f t="shared" si="15"/>
        <v>0</v>
      </c>
      <c r="AS21" s="157">
        <f t="shared" si="16"/>
        <v>0</v>
      </c>
      <c r="AT21" s="156">
        <f t="shared" si="17"/>
        <v>0</v>
      </c>
      <c r="AU21" s="156">
        <f t="shared" si="18"/>
        <v>0</v>
      </c>
      <c r="AV21" s="156">
        <f t="shared" si="19"/>
        <v>0</v>
      </c>
      <c r="AW21" s="156">
        <f t="shared" si="20"/>
        <v>0</v>
      </c>
      <c r="AX21" s="156">
        <f t="shared" si="21"/>
        <v>0</v>
      </c>
      <c r="AY21" s="156">
        <f t="shared" si="22"/>
        <v>0</v>
      </c>
      <c r="AZ21" s="156">
        <f>IF(AND(SUM($AQ$16:AQ20)&gt;0,SUM($AZ$16:AZ20)&lt;$P$62,$W21&gt;=$P$65),$P$64,0)</f>
        <v>0</v>
      </c>
      <c r="BA21" s="156">
        <f>IF(SUM($AQ$17:$AQ20)&gt;0,($P$62-SUM($AZ$17:$AZ20))*$F$65,0)</f>
        <v>19.237500000000001</v>
      </c>
      <c r="BB21" s="157">
        <f t="shared" si="23"/>
        <v>0</v>
      </c>
      <c r="BC21" s="153">
        <f t="shared" si="24"/>
        <v>0</v>
      </c>
      <c r="BD21" s="154">
        <f t="shared" si="25"/>
        <v>0</v>
      </c>
      <c r="BE21" s="163"/>
      <c r="BF21" s="46">
        <f t="shared" si="43"/>
        <v>0.84400986926103427</v>
      </c>
      <c r="BH21" s="152">
        <f t="shared" si="26"/>
        <v>0</v>
      </c>
      <c r="BI21" s="152">
        <f t="shared" si="27"/>
        <v>0</v>
      </c>
      <c r="BJ21" s="153">
        <f t="shared" si="28"/>
        <v>0</v>
      </c>
      <c r="BK21" s="153">
        <f t="shared" si="29"/>
        <v>0</v>
      </c>
      <c r="BL21" s="153">
        <f t="shared" si="30"/>
        <v>0</v>
      </c>
      <c r="BM21" s="153">
        <f t="shared" si="31"/>
        <v>0</v>
      </c>
      <c r="BN21" s="154">
        <f t="shared" si="32"/>
        <v>0</v>
      </c>
      <c r="BO21" s="153">
        <f t="shared" si="33"/>
        <v>0</v>
      </c>
      <c r="BP21" s="153">
        <f t="shared" si="34"/>
        <v>0</v>
      </c>
      <c r="BQ21" s="153">
        <f t="shared" si="35"/>
        <v>0</v>
      </c>
      <c r="BR21" s="153">
        <f t="shared" si="36"/>
        <v>0</v>
      </c>
      <c r="BS21" s="220">
        <f t="shared" si="37"/>
        <v>0</v>
      </c>
      <c r="BT21" s="153">
        <f t="shared" si="38"/>
        <v>0</v>
      </c>
      <c r="BU21" s="154">
        <f t="shared" si="39"/>
        <v>0</v>
      </c>
      <c r="BV21" s="154">
        <f t="shared" si="40"/>
        <v>0</v>
      </c>
      <c r="BW21" s="150"/>
      <c r="BX21" s="155">
        <f t="shared" si="41"/>
        <v>0</v>
      </c>
      <c r="BY21" s="273">
        <f t="shared" si="44"/>
        <v>0</v>
      </c>
      <c r="CA21"/>
    </row>
    <row r="22" spans="1:79" ht="15.75" customHeight="1">
      <c r="B22" s="55" t="s">
        <v>98</v>
      </c>
      <c r="C22" s="19"/>
      <c r="I22" s="71"/>
      <c r="J22" s="4" t="s">
        <v>98</v>
      </c>
      <c r="N22" s="19" t="s">
        <v>38</v>
      </c>
      <c r="O22" s="36">
        <f>SUM(F23:F24)</f>
        <v>3.4499999999999996E-2</v>
      </c>
      <c r="V22" s="57">
        <f t="shared" si="42"/>
        <v>47573</v>
      </c>
      <c r="W22" s="26">
        <v>6</v>
      </c>
      <c r="X22" s="269" t="str">
        <f t="shared" si="0"/>
        <v>-</v>
      </c>
      <c r="Y22" s="158">
        <f t="shared" si="1"/>
        <v>0</v>
      </c>
      <c r="Z22" s="156">
        <f t="shared" si="2"/>
        <v>0</v>
      </c>
      <c r="AA22" s="156">
        <f t="shared" si="3"/>
        <v>0</v>
      </c>
      <c r="AB22" s="156">
        <f t="shared" si="4"/>
        <v>0</v>
      </c>
      <c r="AC22" s="157">
        <f t="shared" si="5"/>
        <v>0</v>
      </c>
      <c r="AD22" s="158">
        <f t="shared" si="6"/>
        <v>0</v>
      </c>
      <c r="AE22" s="156">
        <f t="shared" si="7"/>
        <v>0</v>
      </c>
      <c r="AF22" s="156">
        <f t="shared" si="8"/>
        <v>0</v>
      </c>
      <c r="AG22" s="156">
        <f>IF(AND(SUM($AA$16:AA21)&gt;0,SUM($AG$16:AG21)&lt;$O$62,$W22&gt;=$O$65),$O$64,0)</f>
        <v>0</v>
      </c>
      <c r="AH22" s="153">
        <f>IF(SUM($AA$17:$AA21)&gt;0,($O$62-SUM($AG$17:$AG21))*$F$65,0)</f>
        <v>19.237500000000001</v>
      </c>
      <c r="AI22" s="157">
        <f t="shared" si="9"/>
        <v>0</v>
      </c>
      <c r="AJ22" s="153">
        <f t="shared" si="10"/>
        <v>0</v>
      </c>
      <c r="AK22" s="155">
        <f>(SUM($P$31,$P$51)-SUM($AU$17:AU21))*$O$109</f>
        <v>0</v>
      </c>
      <c r="AL22" s="160"/>
      <c r="AM22" s="154">
        <f t="shared" si="11"/>
        <v>0</v>
      </c>
      <c r="AN22" s="161"/>
      <c r="AO22" s="152">
        <f t="shared" si="12"/>
        <v>0</v>
      </c>
      <c r="AP22" s="153">
        <f t="shared" si="13"/>
        <v>0</v>
      </c>
      <c r="AQ22" s="153">
        <f t="shared" si="14"/>
        <v>0</v>
      </c>
      <c r="AR22" s="156">
        <f t="shared" si="15"/>
        <v>0</v>
      </c>
      <c r="AS22" s="157">
        <f t="shared" si="16"/>
        <v>0</v>
      </c>
      <c r="AT22" s="156">
        <f t="shared" si="17"/>
        <v>0</v>
      </c>
      <c r="AU22" s="156">
        <f t="shared" si="18"/>
        <v>0</v>
      </c>
      <c r="AV22" s="156">
        <f t="shared" si="19"/>
        <v>0</v>
      </c>
      <c r="AW22" s="156">
        <f t="shared" si="20"/>
        <v>0</v>
      </c>
      <c r="AX22" s="156">
        <f t="shared" si="21"/>
        <v>0</v>
      </c>
      <c r="AY22" s="156">
        <f t="shared" si="22"/>
        <v>0</v>
      </c>
      <c r="AZ22" s="156">
        <f>IF(AND(SUM($AQ$16:AQ21)&gt;0,SUM($AZ$16:AZ21)&lt;$P$62,$W22&gt;=$P$65),$P$64,0)</f>
        <v>0</v>
      </c>
      <c r="BA22" s="156">
        <f>IF(SUM($AQ$17:$AQ21)&gt;0,($P$62-SUM($AZ$17:$AZ21))*$F$65,0)</f>
        <v>19.237500000000001</v>
      </c>
      <c r="BB22" s="157">
        <f t="shared" si="23"/>
        <v>0</v>
      </c>
      <c r="BC22" s="153">
        <f t="shared" si="24"/>
        <v>0</v>
      </c>
      <c r="BD22" s="154">
        <f t="shared" si="25"/>
        <v>0</v>
      </c>
      <c r="BE22" s="163"/>
      <c r="BF22" s="46">
        <f t="shared" si="43"/>
        <v>0.81586260924217913</v>
      </c>
      <c r="BH22" s="152">
        <f t="shared" si="26"/>
        <v>0</v>
      </c>
      <c r="BI22" s="152">
        <f t="shared" si="27"/>
        <v>0</v>
      </c>
      <c r="BJ22" s="153">
        <f t="shared" si="28"/>
        <v>0</v>
      </c>
      <c r="BK22" s="153">
        <f t="shared" si="29"/>
        <v>0</v>
      </c>
      <c r="BL22" s="153">
        <f t="shared" si="30"/>
        <v>0</v>
      </c>
      <c r="BM22" s="153">
        <f t="shared" si="31"/>
        <v>0</v>
      </c>
      <c r="BN22" s="154">
        <f t="shared" si="32"/>
        <v>0</v>
      </c>
      <c r="BO22" s="153">
        <f t="shared" si="33"/>
        <v>0</v>
      </c>
      <c r="BP22" s="153">
        <f t="shared" si="34"/>
        <v>0</v>
      </c>
      <c r="BQ22" s="153">
        <f t="shared" si="35"/>
        <v>0</v>
      </c>
      <c r="BR22" s="153">
        <f t="shared" si="36"/>
        <v>0</v>
      </c>
      <c r="BS22" s="220">
        <f t="shared" si="37"/>
        <v>0</v>
      </c>
      <c r="BT22" s="153">
        <f t="shared" si="38"/>
        <v>0</v>
      </c>
      <c r="BU22" s="154">
        <f t="shared" si="39"/>
        <v>0</v>
      </c>
      <c r="BV22" s="154">
        <f t="shared" si="40"/>
        <v>0</v>
      </c>
      <c r="BW22" s="150"/>
      <c r="BX22" s="155">
        <f t="shared" si="41"/>
        <v>0</v>
      </c>
      <c r="BY22" s="273">
        <f t="shared" si="44"/>
        <v>0</v>
      </c>
      <c r="CA22"/>
    </row>
    <row r="23" spans="1:79" ht="15.75" customHeight="1">
      <c r="C23" t="s">
        <v>99</v>
      </c>
      <c r="F23" s="15">
        <v>1.4500000000000001E-2</v>
      </c>
      <c r="H23" t="s">
        <v>100</v>
      </c>
      <c r="V23" s="57">
        <f t="shared" si="42"/>
        <v>47938</v>
      </c>
      <c r="W23" s="26">
        <v>7</v>
      </c>
      <c r="X23" s="269" t="str">
        <f t="shared" si="0"/>
        <v>-</v>
      </c>
      <c r="Y23" s="158">
        <f t="shared" si="1"/>
        <v>0</v>
      </c>
      <c r="Z23" s="156">
        <f t="shared" si="2"/>
        <v>0</v>
      </c>
      <c r="AA23" s="156">
        <f t="shared" si="3"/>
        <v>0</v>
      </c>
      <c r="AB23" s="156">
        <f t="shared" si="4"/>
        <v>0</v>
      </c>
      <c r="AC23" s="157">
        <f t="shared" si="5"/>
        <v>0</v>
      </c>
      <c r="AD23" s="158">
        <f t="shared" si="6"/>
        <v>0</v>
      </c>
      <c r="AE23" s="156">
        <f t="shared" si="7"/>
        <v>0</v>
      </c>
      <c r="AF23" s="156">
        <f t="shared" si="8"/>
        <v>0</v>
      </c>
      <c r="AG23" s="156">
        <f>IF(AND(SUM($AA$16:AA22)&gt;0,SUM($AG$16:AG22)&lt;$O$62,$W23&gt;=$O$65),$O$64,0)</f>
        <v>64.125</v>
      </c>
      <c r="AH23" s="153">
        <f>IF(SUM($AA$17:$AA22)&gt;0,($O$62-SUM($AG$17:$AG22))*$F$65,0)</f>
        <v>19.237500000000001</v>
      </c>
      <c r="AI23" s="157">
        <f t="shared" si="9"/>
        <v>0</v>
      </c>
      <c r="AJ23" s="153">
        <f t="shared" si="10"/>
        <v>0</v>
      </c>
      <c r="AK23" s="155">
        <f>(SUM($P$31,$P$51)-SUM($AU$17:AU22))*$O$109</f>
        <v>0</v>
      </c>
      <c r="AL23" s="160"/>
      <c r="AM23" s="154">
        <f t="shared" si="11"/>
        <v>0</v>
      </c>
      <c r="AN23" s="161"/>
      <c r="AO23" s="152">
        <f t="shared" si="12"/>
        <v>0</v>
      </c>
      <c r="AP23" s="153">
        <f t="shared" si="13"/>
        <v>0</v>
      </c>
      <c r="AQ23" s="153">
        <f t="shared" si="14"/>
        <v>0</v>
      </c>
      <c r="AR23" s="156">
        <f t="shared" si="15"/>
        <v>0</v>
      </c>
      <c r="AS23" s="157">
        <f t="shared" si="16"/>
        <v>0</v>
      </c>
      <c r="AT23" s="156">
        <f t="shared" si="17"/>
        <v>0</v>
      </c>
      <c r="AU23" s="156">
        <f t="shared" si="18"/>
        <v>0</v>
      </c>
      <c r="AV23" s="156">
        <f t="shared" si="19"/>
        <v>0</v>
      </c>
      <c r="AW23" s="156">
        <f t="shared" si="20"/>
        <v>0</v>
      </c>
      <c r="AX23" s="156">
        <f t="shared" si="21"/>
        <v>0</v>
      </c>
      <c r="AY23" s="156">
        <f t="shared" si="22"/>
        <v>0</v>
      </c>
      <c r="AZ23" s="156">
        <f>IF(AND(SUM($AQ$16:AQ22)&gt;0,SUM($AZ$16:AZ22)&lt;$P$62,$W23&gt;=$P$65),$P$64,0)</f>
        <v>64.125</v>
      </c>
      <c r="BA23" s="156">
        <f>IF(SUM($AQ$17:$AQ22)&gt;0,($P$62-SUM($AZ$17:$AZ22))*$F$65,0)</f>
        <v>19.237500000000001</v>
      </c>
      <c r="BB23" s="157">
        <f t="shared" si="23"/>
        <v>0</v>
      </c>
      <c r="BC23" s="153">
        <f t="shared" si="24"/>
        <v>0</v>
      </c>
      <c r="BD23" s="154">
        <f t="shared" si="25"/>
        <v>0</v>
      </c>
      <c r="BE23" s="163"/>
      <c r="BF23" s="46">
        <f t="shared" si="43"/>
        <v>0.7886540447000282</v>
      </c>
      <c r="BH23" s="152">
        <f t="shared" si="26"/>
        <v>0</v>
      </c>
      <c r="BI23" s="152">
        <f t="shared" si="27"/>
        <v>0</v>
      </c>
      <c r="BJ23" s="153">
        <f t="shared" si="28"/>
        <v>0</v>
      </c>
      <c r="BK23" s="153">
        <f t="shared" si="29"/>
        <v>0</v>
      </c>
      <c r="BL23" s="153">
        <f t="shared" si="30"/>
        <v>0</v>
      </c>
      <c r="BM23" s="153">
        <f t="shared" si="31"/>
        <v>0</v>
      </c>
      <c r="BN23" s="154">
        <f t="shared" si="32"/>
        <v>0</v>
      </c>
      <c r="BO23" s="153">
        <f t="shared" si="33"/>
        <v>0</v>
      </c>
      <c r="BP23" s="153">
        <f t="shared" si="34"/>
        <v>0</v>
      </c>
      <c r="BQ23" s="153">
        <f t="shared" si="35"/>
        <v>0</v>
      </c>
      <c r="BR23" s="153">
        <f t="shared" si="36"/>
        <v>0</v>
      </c>
      <c r="BS23" s="220">
        <f t="shared" si="37"/>
        <v>0</v>
      </c>
      <c r="BT23" s="153">
        <f t="shared" si="38"/>
        <v>0</v>
      </c>
      <c r="BU23" s="154">
        <f t="shared" si="39"/>
        <v>0</v>
      </c>
      <c r="BV23" s="154">
        <f t="shared" si="40"/>
        <v>0</v>
      </c>
      <c r="BW23" s="150"/>
      <c r="BX23" s="155">
        <f t="shared" si="41"/>
        <v>0</v>
      </c>
      <c r="BY23" s="273">
        <f t="shared" si="44"/>
        <v>0</v>
      </c>
      <c r="CA23"/>
    </row>
    <row r="24" spans="1:79" ht="15.75" customHeight="1">
      <c r="C24" t="s">
        <v>5</v>
      </c>
      <c r="F24" s="193">
        <f>事業費用概算!J34</f>
        <v>1.9999999999999997E-2</v>
      </c>
      <c r="V24" s="57">
        <f t="shared" si="42"/>
        <v>48304</v>
      </c>
      <c r="W24" s="26">
        <v>8</v>
      </c>
      <c r="X24" s="269" t="str">
        <f t="shared" si="0"/>
        <v>-</v>
      </c>
      <c r="Y24" s="158">
        <f t="shared" si="1"/>
        <v>0</v>
      </c>
      <c r="Z24" s="156">
        <f t="shared" si="2"/>
        <v>0</v>
      </c>
      <c r="AA24" s="156">
        <f t="shared" si="3"/>
        <v>0</v>
      </c>
      <c r="AB24" s="156">
        <f t="shared" si="4"/>
        <v>0</v>
      </c>
      <c r="AC24" s="157">
        <f t="shared" si="5"/>
        <v>0</v>
      </c>
      <c r="AD24" s="158">
        <f t="shared" si="6"/>
        <v>0</v>
      </c>
      <c r="AE24" s="156">
        <f t="shared" si="7"/>
        <v>0</v>
      </c>
      <c r="AF24" s="156">
        <f t="shared" si="8"/>
        <v>0</v>
      </c>
      <c r="AG24" s="156">
        <f>IF(AND(SUM($AA$16:AA23)&gt;0,SUM($AG$16:AG23)&lt;$O$62,$W24&gt;=$O$65),$O$64,0)</f>
        <v>64.125</v>
      </c>
      <c r="AH24" s="153">
        <f>IF(SUM($AA$17:$AA23)&gt;0,($O$62-SUM($AG$17:$AG23))*$F$65,0)</f>
        <v>18.275624999999998</v>
      </c>
      <c r="AI24" s="157">
        <f t="shared" si="9"/>
        <v>0</v>
      </c>
      <c r="AJ24" s="153">
        <f t="shared" si="10"/>
        <v>0</v>
      </c>
      <c r="AK24" s="155">
        <f>(SUM($P$31,$P$51)-SUM($AU$17:AU23))*$O$109</f>
        <v>0</v>
      </c>
      <c r="AL24" s="160"/>
      <c r="AM24" s="154">
        <f t="shared" si="11"/>
        <v>0</v>
      </c>
      <c r="AN24" s="161"/>
      <c r="AO24" s="152">
        <f t="shared" si="12"/>
        <v>0</v>
      </c>
      <c r="AP24" s="153">
        <f t="shared" si="13"/>
        <v>0</v>
      </c>
      <c r="AQ24" s="153">
        <f t="shared" si="14"/>
        <v>0</v>
      </c>
      <c r="AR24" s="156">
        <f t="shared" si="15"/>
        <v>0</v>
      </c>
      <c r="AS24" s="157">
        <f t="shared" si="16"/>
        <v>0</v>
      </c>
      <c r="AT24" s="156">
        <f t="shared" si="17"/>
        <v>0</v>
      </c>
      <c r="AU24" s="156">
        <f t="shared" si="18"/>
        <v>0</v>
      </c>
      <c r="AV24" s="156">
        <f t="shared" si="19"/>
        <v>0</v>
      </c>
      <c r="AW24" s="156">
        <f t="shared" si="20"/>
        <v>0</v>
      </c>
      <c r="AX24" s="156">
        <f t="shared" si="21"/>
        <v>0</v>
      </c>
      <c r="AY24" s="156">
        <f t="shared" si="22"/>
        <v>0</v>
      </c>
      <c r="AZ24" s="156">
        <f>IF(AND(SUM($AQ$16:AQ23)&gt;0,SUM($AZ$16:AZ23)&lt;$P$62,$W24&gt;=$P$65),$P$64,0)</f>
        <v>64.125</v>
      </c>
      <c r="BA24" s="156">
        <f>IF(SUM($AQ$17:$AQ23)&gt;0,($P$62-SUM($AZ$17:$AZ23))*$F$65,0)</f>
        <v>18.275624999999998</v>
      </c>
      <c r="BB24" s="157">
        <f t="shared" si="23"/>
        <v>0</v>
      </c>
      <c r="BC24" s="153">
        <f t="shared" si="24"/>
        <v>0</v>
      </c>
      <c r="BD24" s="154">
        <f t="shared" si="25"/>
        <v>0</v>
      </c>
      <c r="BE24" s="163"/>
      <c r="BF24" s="46">
        <f t="shared" si="43"/>
        <v>0.76235287066218294</v>
      </c>
      <c r="BH24" s="152">
        <f t="shared" si="26"/>
        <v>0</v>
      </c>
      <c r="BI24" s="152">
        <f t="shared" si="27"/>
        <v>0</v>
      </c>
      <c r="BJ24" s="153">
        <f t="shared" si="28"/>
        <v>0</v>
      </c>
      <c r="BK24" s="153">
        <f t="shared" si="29"/>
        <v>0</v>
      </c>
      <c r="BL24" s="153">
        <f t="shared" si="30"/>
        <v>0</v>
      </c>
      <c r="BM24" s="153">
        <f t="shared" si="31"/>
        <v>0</v>
      </c>
      <c r="BN24" s="154">
        <f t="shared" si="32"/>
        <v>0</v>
      </c>
      <c r="BO24" s="153">
        <f t="shared" si="33"/>
        <v>0</v>
      </c>
      <c r="BP24" s="153">
        <f t="shared" si="34"/>
        <v>0</v>
      </c>
      <c r="BQ24" s="153">
        <f t="shared" si="35"/>
        <v>0</v>
      </c>
      <c r="BR24" s="153">
        <f t="shared" si="36"/>
        <v>0</v>
      </c>
      <c r="BS24" s="220">
        <f t="shared" si="37"/>
        <v>0</v>
      </c>
      <c r="BT24" s="153">
        <f t="shared" si="38"/>
        <v>0</v>
      </c>
      <c r="BU24" s="154">
        <f t="shared" si="39"/>
        <v>0</v>
      </c>
      <c r="BV24" s="154">
        <f t="shared" si="40"/>
        <v>0</v>
      </c>
      <c r="BW24" s="150"/>
      <c r="BX24" s="155">
        <f t="shared" si="41"/>
        <v>0</v>
      </c>
      <c r="BY24" s="273">
        <f t="shared" si="44"/>
        <v>0</v>
      </c>
      <c r="CA24"/>
    </row>
    <row r="25" spans="1:79" ht="15.75" customHeight="1">
      <c r="V25" s="57">
        <f t="shared" si="42"/>
        <v>48669</v>
      </c>
      <c r="W25" s="26">
        <v>9</v>
      </c>
      <c r="X25" s="269" t="str">
        <f t="shared" si="0"/>
        <v>-</v>
      </c>
      <c r="Y25" s="158">
        <f t="shared" si="1"/>
        <v>0</v>
      </c>
      <c r="Z25" s="156">
        <f t="shared" si="2"/>
        <v>0</v>
      </c>
      <c r="AA25" s="156">
        <f t="shared" si="3"/>
        <v>0</v>
      </c>
      <c r="AB25" s="156">
        <f t="shared" si="4"/>
        <v>0</v>
      </c>
      <c r="AC25" s="157">
        <f t="shared" si="5"/>
        <v>0</v>
      </c>
      <c r="AD25" s="158">
        <f t="shared" si="6"/>
        <v>0</v>
      </c>
      <c r="AE25" s="156">
        <f t="shared" si="7"/>
        <v>0</v>
      </c>
      <c r="AF25" s="156">
        <f t="shared" si="8"/>
        <v>0</v>
      </c>
      <c r="AG25" s="156">
        <f>IF(AND(SUM($AA$16:AA24)&gt;0,SUM($AG$16:AG24)&lt;$O$62,$W25&gt;=$O$65),$O$64,0)</f>
        <v>64.125</v>
      </c>
      <c r="AH25" s="153">
        <f>IF(SUM($AA$17:$AA24)&gt;0,($O$62-SUM($AG$17:$AG24))*$F$65,0)</f>
        <v>17.313749999999999</v>
      </c>
      <c r="AI25" s="157">
        <f t="shared" si="9"/>
        <v>0</v>
      </c>
      <c r="AJ25" s="153">
        <f t="shared" si="10"/>
        <v>0</v>
      </c>
      <c r="AK25" s="155">
        <f>(SUM($P$31,$P$51)-SUM($AU$17:AU24))*$O$109</f>
        <v>0</v>
      </c>
      <c r="AL25" s="160"/>
      <c r="AM25" s="154">
        <f t="shared" si="11"/>
        <v>0</v>
      </c>
      <c r="AN25" s="161"/>
      <c r="AO25" s="152">
        <f t="shared" si="12"/>
        <v>0</v>
      </c>
      <c r="AP25" s="153">
        <f t="shared" si="13"/>
        <v>0</v>
      </c>
      <c r="AQ25" s="153">
        <f t="shared" si="14"/>
        <v>0</v>
      </c>
      <c r="AR25" s="156">
        <f t="shared" si="15"/>
        <v>0</v>
      </c>
      <c r="AS25" s="157">
        <f t="shared" si="16"/>
        <v>0</v>
      </c>
      <c r="AT25" s="156">
        <f t="shared" si="17"/>
        <v>0</v>
      </c>
      <c r="AU25" s="156">
        <f t="shared" si="18"/>
        <v>0</v>
      </c>
      <c r="AV25" s="156">
        <f t="shared" si="19"/>
        <v>0</v>
      </c>
      <c r="AW25" s="156">
        <f t="shared" si="20"/>
        <v>0</v>
      </c>
      <c r="AX25" s="156">
        <f t="shared" si="21"/>
        <v>0</v>
      </c>
      <c r="AY25" s="156">
        <f t="shared" si="22"/>
        <v>0</v>
      </c>
      <c r="AZ25" s="156">
        <f>IF(AND(SUM($AQ$16:AQ24)&gt;0,SUM($AZ$16:AZ24)&lt;$P$62,$W25&gt;=$P$65),$P$64,0)</f>
        <v>64.125</v>
      </c>
      <c r="BA25" s="156">
        <f>IF(SUM($AQ$17:$AQ24)&gt;0,($P$62-SUM($AZ$17:$AZ24))*$F$65,0)</f>
        <v>17.313749999999999</v>
      </c>
      <c r="BB25" s="157">
        <f t="shared" si="23"/>
        <v>0</v>
      </c>
      <c r="BC25" s="153">
        <f t="shared" si="24"/>
        <v>0</v>
      </c>
      <c r="BD25" s="154">
        <f t="shared" si="25"/>
        <v>0</v>
      </c>
      <c r="BE25" s="163"/>
      <c r="BF25" s="46">
        <f t="shared" si="43"/>
        <v>0.73692882615967414</v>
      </c>
      <c r="BH25" s="152">
        <f t="shared" si="26"/>
        <v>0</v>
      </c>
      <c r="BI25" s="152">
        <f t="shared" si="27"/>
        <v>0</v>
      </c>
      <c r="BJ25" s="153">
        <f t="shared" si="28"/>
        <v>0</v>
      </c>
      <c r="BK25" s="153">
        <f t="shared" si="29"/>
        <v>0</v>
      </c>
      <c r="BL25" s="153">
        <f t="shared" si="30"/>
        <v>0</v>
      </c>
      <c r="BM25" s="153">
        <f t="shared" si="31"/>
        <v>0</v>
      </c>
      <c r="BN25" s="154">
        <f t="shared" si="32"/>
        <v>0</v>
      </c>
      <c r="BO25" s="153">
        <f t="shared" si="33"/>
        <v>0</v>
      </c>
      <c r="BP25" s="153">
        <f t="shared" si="34"/>
        <v>0</v>
      </c>
      <c r="BQ25" s="153">
        <f t="shared" si="35"/>
        <v>0</v>
      </c>
      <c r="BR25" s="153">
        <f t="shared" si="36"/>
        <v>0</v>
      </c>
      <c r="BS25" s="220">
        <f t="shared" si="37"/>
        <v>0</v>
      </c>
      <c r="BT25" s="153">
        <f t="shared" si="38"/>
        <v>0</v>
      </c>
      <c r="BU25" s="154">
        <f t="shared" si="39"/>
        <v>0</v>
      </c>
      <c r="BV25" s="154">
        <f t="shared" si="40"/>
        <v>0</v>
      </c>
      <c r="BW25" s="150"/>
      <c r="BX25" s="155">
        <f t="shared" si="41"/>
        <v>0</v>
      </c>
      <c r="BY25" s="273">
        <f t="shared" si="44"/>
        <v>0</v>
      </c>
      <c r="CA25"/>
    </row>
    <row r="26" spans="1:79" ht="13.5" customHeight="1">
      <c r="V26" s="57">
        <f t="shared" si="42"/>
        <v>49034</v>
      </c>
      <c r="W26" s="26">
        <v>10</v>
      </c>
      <c r="X26" s="269" t="str">
        <f t="shared" si="0"/>
        <v>-</v>
      </c>
      <c r="Y26" s="158">
        <f t="shared" si="1"/>
        <v>0</v>
      </c>
      <c r="Z26" s="156">
        <f t="shared" si="2"/>
        <v>0</v>
      </c>
      <c r="AA26" s="156">
        <f t="shared" si="3"/>
        <v>0</v>
      </c>
      <c r="AB26" s="156">
        <f t="shared" si="4"/>
        <v>0</v>
      </c>
      <c r="AC26" s="157">
        <f t="shared" si="5"/>
        <v>0</v>
      </c>
      <c r="AD26" s="158">
        <f t="shared" si="6"/>
        <v>0</v>
      </c>
      <c r="AE26" s="156">
        <f t="shared" si="7"/>
        <v>0</v>
      </c>
      <c r="AF26" s="156">
        <f t="shared" si="8"/>
        <v>0</v>
      </c>
      <c r="AG26" s="156">
        <f>IF(AND(SUM($AA$16:AA25)&gt;0,SUM($AG$16:AG25)&lt;$O$62,$W26&gt;=$O$65),$O$64,0)</f>
        <v>64.125</v>
      </c>
      <c r="AH26" s="153">
        <f>IF(SUM($AA$17:$AA25)&gt;0,($O$62-SUM($AG$17:$AG25))*$F$65,0)</f>
        <v>16.351875</v>
      </c>
      <c r="AI26" s="157">
        <f t="shared" si="9"/>
        <v>0</v>
      </c>
      <c r="AJ26" s="153">
        <f t="shared" si="10"/>
        <v>0</v>
      </c>
      <c r="AK26" s="155">
        <f>(SUM($P$31,$P$51)-SUM($AU$17:AU25))*$O$109</f>
        <v>0</v>
      </c>
      <c r="AL26" s="160"/>
      <c r="AM26" s="154">
        <f t="shared" si="11"/>
        <v>0</v>
      </c>
      <c r="AN26" s="161"/>
      <c r="AO26" s="152">
        <f t="shared" si="12"/>
        <v>0</v>
      </c>
      <c r="AP26" s="153">
        <f t="shared" si="13"/>
        <v>0</v>
      </c>
      <c r="AQ26" s="153">
        <f t="shared" si="14"/>
        <v>0</v>
      </c>
      <c r="AR26" s="156">
        <f t="shared" si="15"/>
        <v>0</v>
      </c>
      <c r="AS26" s="157">
        <f t="shared" si="16"/>
        <v>0</v>
      </c>
      <c r="AT26" s="156">
        <f t="shared" si="17"/>
        <v>0</v>
      </c>
      <c r="AU26" s="156">
        <f t="shared" si="18"/>
        <v>0</v>
      </c>
      <c r="AV26" s="156">
        <f t="shared" si="19"/>
        <v>0</v>
      </c>
      <c r="AW26" s="156">
        <f t="shared" si="20"/>
        <v>0</v>
      </c>
      <c r="AX26" s="156">
        <f t="shared" si="21"/>
        <v>0</v>
      </c>
      <c r="AY26" s="156">
        <f t="shared" si="22"/>
        <v>0</v>
      </c>
      <c r="AZ26" s="156">
        <f>IF(AND(SUM($AQ$16:AQ25)&gt;0,SUM($AZ$16:AZ25)&lt;$P$62,$W26&gt;=$P$65),$P$64,0)</f>
        <v>64.125</v>
      </c>
      <c r="BA26" s="156">
        <f>IF(SUM($AQ$17:$AQ25)&gt;0,($P$62-SUM($AZ$17:$AZ25))*$F$65,0)</f>
        <v>16.351875</v>
      </c>
      <c r="BB26" s="157">
        <f t="shared" si="23"/>
        <v>0</v>
      </c>
      <c r="BC26" s="153">
        <f t="shared" si="24"/>
        <v>0</v>
      </c>
      <c r="BD26" s="154">
        <f t="shared" si="25"/>
        <v>0</v>
      </c>
      <c r="BE26" s="163"/>
      <c r="BF26" s="46">
        <f t="shared" si="43"/>
        <v>0.71235265941002823</v>
      </c>
      <c r="BH26" s="152">
        <f t="shared" si="26"/>
        <v>0</v>
      </c>
      <c r="BI26" s="152">
        <f t="shared" si="27"/>
        <v>0</v>
      </c>
      <c r="BJ26" s="153">
        <f t="shared" si="28"/>
        <v>0</v>
      </c>
      <c r="BK26" s="153">
        <f t="shared" si="29"/>
        <v>0</v>
      </c>
      <c r="BL26" s="153">
        <f t="shared" si="30"/>
        <v>0</v>
      </c>
      <c r="BM26" s="153">
        <f t="shared" si="31"/>
        <v>0</v>
      </c>
      <c r="BN26" s="154">
        <f t="shared" si="32"/>
        <v>0</v>
      </c>
      <c r="BO26" s="153">
        <f t="shared" si="33"/>
        <v>0</v>
      </c>
      <c r="BP26" s="153">
        <f t="shared" si="34"/>
        <v>0</v>
      </c>
      <c r="BQ26" s="153">
        <f t="shared" si="35"/>
        <v>0</v>
      </c>
      <c r="BR26" s="153">
        <f t="shared" si="36"/>
        <v>0</v>
      </c>
      <c r="BS26" s="220">
        <f t="shared" si="37"/>
        <v>0</v>
      </c>
      <c r="BT26" s="153">
        <f t="shared" si="38"/>
        <v>0</v>
      </c>
      <c r="BU26" s="154">
        <f t="shared" si="39"/>
        <v>0</v>
      </c>
      <c r="BV26" s="154">
        <f t="shared" si="40"/>
        <v>0</v>
      </c>
      <c r="BW26" s="150"/>
      <c r="BX26" s="155">
        <f t="shared" si="41"/>
        <v>0</v>
      </c>
      <c r="BY26" s="273">
        <f t="shared" si="44"/>
        <v>0</v>
      </c>
      <c r="CA26"/>
    </row>
    <row r="27" spans="1:79" ht="15.75" customHeight="1">
      <c r="A27" s="4" t="s">
        <v>101</v>
      </c>
      <c r="H27" s="71"/>
      <c r="I27" s="71"/>
      <c r="J27" s="4" t="s">
        <v>102</v>
      </c>
      <c r="V27" s="57">
        <f t="shared" si="42"/>
        <v>49399</v>
      </c>
      <c r="W27" s="26">
        <v>11</v>
      </c>
      <c r="X27" s="269" t="str">
        <f t="shared" si="0"/>
        <v>-</v>
      </c>
      <c r="Y27" s="158">
        <f t="shared" si="1"/>
        <v>0</v>
      </c>
      <c r="Z27" s="156">
        <f t="shared" si="2"/>
        <v>0</v>
      </c>
      <c r="AA27" s="156">
        <f t="shared" si="3"/>
        <v>0</v>
      </c>
      <c r="AB27" s="156">
        <f t="shared" si="4"/>
        <v>0</v>
      </c>
      <c r="AC27" s="157">
        <f t="shared" si="5"/>
        <v>0</v>
      </c>
      <c r="AD27" s="158">
        <f t="shared" si="6"/>
        <v>0</v>
      </c>
      <c r="AE27" s="156">
        <f t="shared" si="7"/>
        <v>0</v>
      </c>
      <c r="AF27" s="156">
        <f t="shared" si="8"/>
        <v>0</v>
      </c>
      <c r="AG27" s="156">
        <f>IF(AND(SUM($AA$16:AA26)&gt;0,SUM($AG$16:AG26)&lt;$O$62,$W27&gt;=$O$65),$O$64,0)</f>
        <v>64.125</v>
      </c>
      <c r="AH27" s="153">
        <f>IF(SUM($AA$17:$AA26)&gt;0,($O$62-SUM($AG$17:$AG26))*$F$65,0)</f>
        <v>15.389999999999999</v>
      </c>
      <c r="AI27" s="157">
        <f t="shared" si="9"/>
        <v>0</v>
      </c>
      <c r="AJ27" s="153">
        <f t="shared" si="10"/>
        <v>0</v>
      </c>
      <c r="AK27" s="155">
        <f>(SUM($P$31,$P$51)-SUM($AU$17:AU26))*$O$109</f>
        <v>0</v>
      </c>
      <c r="AL27" s="160"/>
      <c r="AM27" s="154">
        <f t="shared" si="11"/>
        <v>0</v>
      </c>
      <c r="AN27" s="161"/>
      <c r="AO27" s="152">
        <f t="shared" si="12"/>
        <v>0</v>
      </c>
      <c r="AP27" s="153">
        <f t="shared" si="13"/>
        <v>0</v>
      </c>
      <c r="AQ27" s="153">
        <f t="shared" si="14"/>
        <v>0</v>
      </c>
      <c r="AR27" s="156">
        <f t="shared" si="15"/>
        <v>0</v>
      </c>
      <c r="AS27" s="157">
        <f t="shared" si="16"/>
        <v>0</v>
      </c>
      <c r="AT27" s="156">
        <f t="shared" si="17"/>
        <v>0</v>
      </c>
      <c r="AU27" s="156">
        <f t="shared" si="18"/>
        <v>0</v>
      </c>
      <c r="AV27" s="156">
        <f t="shared" si="19"/>
        <v>0</v>
      </c>
      <c r="AW27" s="156">
        <f t="shared" si="20"/>
        <v>0</v>
      </c>
      <c r="AX27" s="156">
        <f t="shared" si="21"/>
        <v>0</v>
      </c>
      <c r="AY27" s="156">
        <f t="shared" si="22"/>
        <v>0</v>
      </c>
      <c r="AZ27" s="156">
        <f>IF(AND(SUM($AQ$16:AQ26)&gt;0,SUM($AZ$16:AZ26)&lt;$P$62,$W27&gt;=$P$65),$P$64,0)</f>
        <v>64.125</v>
      </c>
      <c r="BA27" s="156">
        <f>IF(SUM($AQ$17:$AQ26)&gt;0,($P$62-SUM($AZ$17:$AZ26))*$F$65,0)</f>
        <v>15.389999999999999</v>
      </c>
      <c r="BB27" s="157">
        <f t="shared" si="23"/>
        <v>0</v>
      </c>
      <c r="BC27" s="153">
        <f t="shared" si="24"/>
        <v>0</v>
      </c>
      <c r="BD27" s="154">
        <f t="shared" si="25"/>
        <v>0</v>
      </c>
      <c r="BE27" s="163"/>
      <c r="BF27" s="46">
        <f t="shared" si="43"/>
        <v>0.68859609416145795</v>
      </c>
      <c r="BH27" s="152">
        <f t="shared" si="26"/>
        <v>0</v>
      </c>
      <c r="BI27" s="152">
        <f t="shared" si="27"/>
        <v>0</v>
      </c>
      <c r="BJ27" s="153">
        <f t="shared" si="28"/>
        <v>0</v>
      </c>
      <c r="BK27" s="153">
        <f t="shared" si="29"/>
        <v>0</v>
      </c>
      <c r="BL27" s="153">
        <f t="shared" si="30"/>
        <v>0</v>
      </c>
      <c r="BM27" s="153">
        <f t="shared" si="31"/>
        <v>0</v>
      </c>
      <c r="BN27" s="154">
        <f t="shared" si="32"/>
        <v>0</v>
      </c>
      <c r="BO27" s="153">
        <f t="shared" si="33"/>
        <v>0</v>
      </c>
      <c r="BP27" s="153">
        <f t="shared" si="34"/>
        <v>0</v>
      </c>
      <c r="BQ27" s="153">
        <f t="shared" si="35"/>
        <v>0</v>
      </c>
      <c r="BR27" s="153">
        <f t="shared" si="36"/>
        <v>0</v>
      </c>
      <c r="BS27" s="220">
        <f t="shared" si="37"/>
        <v>0</v>
      </c>
      <c r="BT27" s="153">
        <f t="shared" si="38"/>
        <v>0</v>
      </c>
      <c r="BU27" s="154">
        <f t="shared" si="39"/>
        <v>0</v>
      </c>
      <c r="BV27" s="154">
        <f t="shared" si="40"/>
        <v>0</v>
      </c>
      <c r="BW27" s="150"/>
      <c r="BX27" s="155">
        <f t="shared" si="41"/>
        <v>0</v>
      </c>
      <c r="BY27" s="273">
        <f t="shared" si="44"/>
        <v>0</v>
      </c>
      <c r="CA27"/>
    </row>
    <row r="28" spans="1:79" ht="15.75" customHeight="1">
      <c r="B28" t="s">
        <v>103</v>
      </c>
      <c r="D28" t="s">
        <v>7</v>
      </c>
      <c r="F28" s="51">
        <f>SUM(F29:F30)</f>
        <v>3000</v>
      </c>
      <c r="J28" s="4" t="s">
        <v>104</v>
      </c>
      <c r="O28" t="s">
        <v>2</v>
      </c>
      <c r="P28" t="s">
        <v>50</v>
      </c>
      <c r="V28" s="57">
        <f t="shared" si="42"/>
        <v>49765</v>
      </c>
      <c r="W28" s="26">
        <v>12</v>
      </c>
      <c r="X28" s="269" t="str">
        <f t="shared" si="0"/>
        <v>-</v>
      </c>
      <c r="Y28" s="158">
        <f t="shared" si="1"/>
        <v>0</v>
      </c>
      <c r="Z28" s="156">
        <f t="shared" si="2"/>
        <v>0</v>
      </c>
      <c r="AA28" s="156">
        <f t="shared" si="3"/>
        <v>0</v>
      </c>
      <c r="AB28" s="156">
        <f t="shared" si="4"/>
        <v>0</v>
      </c>
      <c r="AC28" s="157">
        <f t="shared" si="5"/>
        <v>0</v>
      </c>
      <c r="AD28" s="158">
        <f t="shared" si="6"/>
        <v>0</v>
      </c>
      <c r="AE28" s="156">
        <f t="shared" si="7"/>
        <v>0</v>
      </c>
      <c r="AF28" s="156">
        <f t="shared" si="8"/>
        <v>0</v>
      </c>
      <c r="AG28" s="156">
        <f>IF(AND(SUM($AA$16:AA27)&gt;0,SUM($AG$16:AG27)&lt;$O$62,$W28&gt;=$O$65),$O$64,0)</f>
        <v>64.125</v>
      </c>
      <c r="AH28" s="153">
        <f>IF(SUM($AA$17:$AA27)&gt;0,($O$62-SUM($AG$17:$AG27))*$F$65,0)</f>
        <v>14.428125</v>
      </c>
      <c r="AI28" s="157">
        <f t="shared" si="9"/>
        <v>0</v>
      </c>
      <c r="AJ28" s="153">
        <f t="shared" si="10"/>
        <v>0</v>
      </c>
      <c r="AK28" s="155">
        <f>(SUM($P$31,$P$51)-SUM($AU$17:AU27))*$O$109</f>
        <v>0</v>
      </c>
      <c r="AL28" s="160"/>
      <c r="AM28" s="154">
        <f t="shared" si="11"/>
        <v>0</v>
      </c>
      <c r="AN28" s="161"/>
      <c r="AO28" s="152">
        <f t="shared" si="12"/>
        <v>0</v>
      </c>
      <c r="AP28" s="153">
        <f t="shared" si="13"/>
        <v>0</v>
      </c>
      <c r="AQ28" s="153">
        <f t="shared" si="14"/>
        <v>0</v>
      </c>
      <c r="AR28" s="156">
        <f t="shared" si="15"/>
        <v>0</v>
      </c>
      <c r="AS28" s="157">
        <f t="shared" si="16"/>
        <v>0</v>
      </c>
      <c r="AT28" s="156">
        <f t="shared" si="17"/>
        <v>0</v>
      </c>
      <c r="AU28" s="156">
        <f t="shared" si="18"/>
        <v>0</v>
      </c>
      <c r="AV28" s="156">
        <f t="shared" si="19"/>
        <v>0</v>
      </c>
      <c r="AW28" s="156">
        <f t="shared" si="20"/>
        <v>0</v>
      </c>
      <c r="AX28" s="156">
        <f t="shared" si="21"/>
        <v>0</v>
      </c>
      <c r="AY28" s="156">
        <f t="shared" si="22"/>
        <v>0</v>
      </c>
      <c r="AZ28" s="156">
        <f>IF(AND(SUM($AQ$16:AQ27)&gt;0,SUM($AZ$16:AZ27)&lt;$P$62,$W28&gt;=$P$65),$P$64,0)</f>
        <v>64.125</v>
      </c>
      <c r="BA28" s="156">
        <f>IF(SUM($AQ$17:$AQ27)&gt;0,($P$62-SUM($AZ$17:$AZ27))*$F$65,0)</f>
        <v>14.428125</v>
      </c>
      <c r="BB28" s="157">
        <f t="shared" si="23"/>
        <v>0</v>
      </c>
      <c r="BC28" s="153">
        <f t="shared" si="24"/>
        <v>0</v>
      </c>
      <c r="BD28" s="154">
        <f t="shared" si="25"/>
        <v>0</v>
      </c>
      <c r="BE28" s="163"/>
      <c r="BF28" s="46">
        <f t="shared" si="43"/>
        <v>0.66563179715945675</v>
      </c>
      <c r="BH28" s="152">
        <f t="shared" si="26"/>
        <v>0</v>
      </c>
      <c r="BI28" s="152">
        <f t="shared" si="27"/>
        <v>0</v>
      </c>
      <c r="BJ28" s="153">
        <f t="shared" si="28"/>
        <v>0</v>
      </c>
      <c r="BK28" s="153">
        <f t="shared" si="29"/>
        <v>0</v>
      </c>
      <c r="BL28" s="153">
        <f t="shared" si="30"/>
        <v>0</v>
      </c>
      <c r="BM28" s="153">
        <f t="shared" si="31"/>
        <v>0</v>
      </c>
      <c r="BN28" s="154">
        <f t="shared" si="32"/>
        <v>0</v>
      </c>
      <c r="BO28" s="153">
        <f t="shared" si="33"/>
        <v>0</v>
      </c>
      <c r="BP28" s="153">
        <f t="shared" si="34"/>
        <v>0</v>
      </c>
      <c r="BQ28" s="153">
        <f t="shared" si="35"/>
        <v>0</v>
      </c>
      <c r="BR28" s="153">
        <f t="shared" si="36"/>
        <v>0</v>
      </c>
      <c r="BS28" s="220">
        <f t="shared" si="37"/>
        <v>0</v>
      </c>
      <c r="BT28" s="153">
        <f t="shared" si="38"/>
        <v>0</v>
      </c>
      <c r="BU28" s="154">
        <f t="shared" si="39"/>
        <v>0</v>
      </c>
      <c r="BV28" s="154">
        <f t="shared" si="40"/>
        <v>0</v>
      </c>
      <c r="BW28" s="150"/>
      <c r="BX28" s="155">
        <f t="shared" si="41"/>
        <v>0</v>
      </c>
      <c r="BY28" s="273">
        <f t="shared" si="44"/>
        <v>0</v>
      </c>
      <c r="CA28"/>
    </row>
    <row r="29" spans="1:79" ht="15.75" customHeight="1">
      <c r="C29" s="2" t="s">
        <v>105</v>
      </c>
      <c r="D29" t="s">
        <v>7</v>
      </c>
      <c r="F29" s="277">
        <f>事業費用概算!G6</f>
        <v>0</v>
      </c>
      <c r="K29" t="s">
        <v>83</v>
      </c>
      <c r="N29" s="19" t="s">
        <v>7</v>
      </c>
      <c r="O29" s="51">
        <f>F30*$F$50+F29</f>
        <v>2850</v>
      </c>
      <c r="P29" s="51">
        <f>F28*(1-F51)</f>
        <v>2850</v>
      </c>
      <c r="Q29" t="s">
        <v>106</v>
      </c>
      <c r="V29" s="57">
        <f t="shared" si="42"/>
        <v>50130</v>
      </c>
      <c r="W29" s="26">
        <v>13</v>
      </c>
      <c r="X29" s="269" t="str">
        <f t="shared" si="0"/>
        <v>-</v>
      </c>
      <c r="Y29" s="158">
        <f t="shared" si="1"/>
        <v>0</v>
      </c>
      <c r="Z29" s="156">
        <f t="shared" si="2"/>
        <v>0</v>
      </c>
      <c r="AA29" s="156">
        <f t="shared" si="3"/>
        <v>0</v>
      </c>
      <c r="AB29" s="156">
        <f t="shared" si="4"/>
        <v>0</v>
      </c>
      <c r="AC29" s="157">
        <f t="shared" si="5"/>
        <v>0</v>
      </c>
      <c r="AD29" s="158">
        <f t="shared" si="6"/>
        <v>0</v>
      </c>
      <c r="AE29" s="156">
        <f t="shared" si="7"/>
        <v>0</v>
      </c>
      <c r="AF29" s="156">
        <f t="shared" si="8"/>
        <v>0</v>
      </c>
      <c r="AG29" s="156">
        <f>IF(AND(SUM($AA$16:AA28)&gt;0,SUM($AG$16:AG28)&lt;$O$62,$W29&gt;=$O$65),$O$64,0)</f>
        <v>64.125</v>
      </c>
      <c r="AH29" s="153">
        <f>IF(SUM($AA$17:$AA28)&gt;0,($O$62-SUM($AG$17:$AG28))*$F$65,0)</f>
        <v>13.466249999999999</v>
      </c>
      <c r="AI29" s="157">
        <f t="shared" si="9"/>
        <v>0</v>
      </c>
      <c r="AJ29" s="153">
        <f t="shared" si="10"/>
        <v>0</v>
      </c>
      <c r="AK29" s="155">
        <f>(SUM($P$31,$P$51)-SUM($AU$17:AU28))*$O$109</f>
        <v>0</v>
      </c>
      <c r="AL29" s="160"/>
      <c r="AM29" s="154">
        <f t="shared" si="11"/>
        <v>0</v>
      </c>
      <c r="AN29" s="161"/>
      <c r="AO29" s="152">
        <f t="shared" si="12"/>
        <v>0</v>
      </c>
      <c r="AP29" s="153">
        <f t="shared" si="13"/>
        <v>0</v>
      </c>
      <c r="AQ29" s="153">
        <f t="shared" si="14"/>
        <v>0</v>
      </c>
      <c r="AR29" s="156">
        <f t="shared" si="15"/>
        <v>0</v>
      </c>
      <c r="AS29" s="157">
        <f t="shared" si="16"/>
        <v>0</v>
      </c>
      <c r="AT29" s="156">
        <f t="shared" si="17"/>
        <v>0</v>
      </c>
      <c r="AU29" s="156">
        <f t="shared" si="18"/>
        <v>0</v>
      </c>
      <c r="AV29" s="156">
        <f t="shared" si="19"/>
        <v>0</v>
      </c>
      <c r="AW29" s="156">
        <f t="shared" si="20"/>
        <v>0</v>
      </c>
      <c r="AX29" s="156">
        <f t="shared" si="21"/>
        <v>0</v>
      </c>
      <c r="AY29" s="156">
        <f t="shared" si="22"/>
        <v>0</v>
      </c>
      <c r="AZ29" s="156">
        <f>IF(AND(SUM($AQ$16:AQ28)&gt;0,SUM($AZ$16:AZ28)&lt;$P$62,$W29&gt;=$P$65),$P$64,0)</f>
        <v>64.125</v>
      </c>
      <c r="BA29" s="156">
        <f>IF(SUM($AQ$17:$AQ28)&gt;0,($P$62-SUM($AZ$17:$AZ28))*$F$65,0)</f>
        <v>13.466249999999999</v>
      </c>
      <c r="BB29" s="157">
        <f t="shared" si="23"/>
        <v>0</v>
      </c>
      <c r="BC29" s="153">
        <f t="shared" si="24"/>
        <v>0</v>
      </c>
      <c r="BD29" s="154">
        <f t="shared" si="25"/>
        <v>0</v>
      </c>
      <c r="BE29" s="163"/>
      <c r="BF29" s="46">
        <f t="shared" si="43"/>
        <v>0.64343334669836327</v>
      </c>
      <c r="BH29" s="152">
        <f t="shared" si="26"/>
        <v>0</v>
      </c>
      <c r="BI29" s="152">
        <f t="shared" si="27"/>
        <v>0</v>
      </c>
      <c r="BJ29" s="153">
        <f t="shared" si="28"/>
        <v>0</v>
      </c>
      <c r="BK29" s="153">
        <f t="shared" si="29"/>
        <v>0</v>
      </c>
      <c r="BL29" s="153">
        <f t="shared" si="30"/>
        <v>0</v>
      </c>
      <c r="BM29" s="153">
        <f t="shared" si="31"/>
        <v>0</v>
      </c>
      <c r="BN29" s="154">
        <f t="shared" si="32"/>
        <v>0</v>
      </c>
      <c r="BO29" s="153">
        <f t="shared" si="33"/>
        <v>0</v>
      </c>
      <c r="BP29" s="153">
        <f t="shared" si="34"/>
        <v>0</v>
      </c>
      <c r="BQ29" s="153">
        <f t="shared" si="35"/>
        <v>0</v>
      </c>
      <c r="BR29" s="153">
        <f t="shared" si="36"/>
        <v>0</v>
      </c>
      <c r="BS29" s="220">
        <f t="shared" si="37"/>
        <v>0</v>
      </c>
      <c r="BT29" s="153">
        <f t="shared" si="38"/>
        <v>0</v>
      </c>
      <c r="BU29" s="154">
        <f t="shared" si="39"/>
        <v>0</v>
      </c>
      <c r="BV29" s="154">
        <f t="shared" si="40"/>
        <v>0</v>
      </c>
      <c r="BW29" s="150"/>
      <c r="BX29" s="155">
        <f t="shared" si="41"/>
        <v>0</v>
      </c>
      <c r="BY29" s="273">
        <f t="shared" si="44"/>
        <v>0</v>
      </c>
      <c r="CA29"/>
    </row>
    <row r="30" spans="1:79" ht="15.75" customHeight="1">
      <c r="C30" s="2" t="s">
        <v>107</v>
      </c>
      <c r="D30" t="s">
        <v>7</v>
      </c>
      <c r="F30" s="277">
        <f>事業費用概算!G7</f>
        <v>3000</v>
      </c>
      <c r="M30" s="55" t="s">
        <v>108</v>
      </c>
      <c r="N30" s="19" t="s">
        <v>7</v>
      </c>
      <c r="O30" s="50">
        <f>O29*E32</f>
        <v>2850</v>
      </c>
      <c r="P30" s="50">
        <f>$P$29*F32</f>
        <v>2850</v>
      </c>
      <c r="V30" s="57">
        <f t="shared" si="42"/>
        <v>50495</v>
      </c>
      <c r="W30" s="26">
        <v>14</v>
      </c>
      <c r="X30" s="269" t="str">
        <f t="shared" si="0"/>
        <v>-</v>
      </c>
      <c r="Y30" s="158">
        <f t="shared" si="1"/>
        <v>0</v>
      </c>
      <c r="Z30" s="156">
        <f t="shared" si="2"/>
        <v>0</v>
      </c>
      <c r="AA30" s="156">
        <f t="shared" si="3"/>
        <v>0</v>
      </c>
      <c r="AB30" s="156">
        <f t="shared" si="4"/>
        <v>0</v>
      </c>
      <c r="AC30" s="157">
        <f t="shared" si="5"/>
        <v>0</v>
      </c>
      <c r="AD30" s="158">
        <f t="shared" si="6"/>
        <v>0</v>
      </c>
      <c r="AE30" s="156">
        <f t="shared" si="7"/>
        <v>0</v>
      </c>
      <c r="AF30" s="156">
        <f t="shared" si="8"/>
        <v>0</v>
      </c>
      <c r="AG30" s="156">
        <f>IF(AND(SUM($AA$16:AA29)&gt;0,SUM($AG$16:AG29)&lt;$O$62,$W30&gt;=$O$65),$O$64,0)</f>
        <v>64.125</v>
      </c>
      <c r="AH30" s="153">
        <f>IF(SUM($AA$17:$AA29)&gt;0,($O$62-SUM($AG$17:$AG29))*$F$65,0)</f>
        <v>12.504375</v>
      </c>
      <c r="AI30" s="157">
        <f t="shared" si="9"/>
        <v>0</v>
      </c>
      <c r="AJ30" s="153">
        <f t="shared" si="10"/>
        <v>0</v>
      </c>
      <c r="AK30" s="155">
        <f>(SUM($P$31,$P$51)-SUM($AU$17:AU29))*$O$109</f>
        <v>0</v>
      </c>
      <c r="AL30" s="160"/>
      <c r="AM30" s="154">
        <f t="shared" si="11"/>
        <v>0</v>
      </c>
      <c r="AN30" s="161"/>
      <c r="AO30" s="152">
        <f t="shared" si="12"/>
        <v>0</v>
      </c>
      <c r="AP30" s="153">
        <f t="shared" si="13"/>
        <v>0</v>
      </c>
      <c r="AQ30" s="153">
        <f t="shared" si="14"/>
        <v>0</v>
      </c>
      <c r="AR30" s="156">
        <f t="shared" si="15"/>
        <v>0</v>
      </c>
      <c r="AS30" s="157">
        <f t="shared" si="16"/>
        <v>0</v>
      </c>
      <c r="AT30" s="156">
        <f t="shared" si="17"/>
        <v>0</v>
      </c>
      <c r="AU30" s="156">
        <f t="shared" si="18"/>
        <v>0</v>
      </c>
      <c r="AV30" s="156">
        <f t="shared" si="19"/>
        <v>0</v>
      </c>
      <c r="AW30" s="156">
        <f t="shared" si="20"/>
        <v>0</v>
      </c>
      <c r="AX30" s="156">
        <f t="shared" si="21"/>
        <v>0</v>
      </c>
      <c r="AY30" s="156">
        <f t="shared" si="22"/>
        <v>0</v>
      </c>
      <c r="AZ30" s="156">
        <f>IF(AND(SUM($AQ$16:AQ29)&gt;0,SUM($AZ$16:AZ29)&lt;$P$62,$W30&gt;=$P$65),$P$64,0)</f>
        <v>64.125</v>
      </c>
      <c r="BA30" s="156">
        <f>IF(SUM($AQ$17:$AQ29)&gt;0,($P$62-SUM($AZ$17:$AZ29))*$F$65,0)</f>
        <v>12.504375</v>
      </c>
      <c r="BB30" s="157">
        <f t="shared" si="23"/>
        <v>0</v>
      </c>
      <c r="BC30" s="153">
        <f t="shared" si="24"/>
        <v>0</v>
      </c>
      <c r="BD30" s="154">
        <f t="shared" si="25"/>
        <v>0</v>
      </c>
      <c r="BE30" s="163"/>
      <c r="BF30" s="46">
        <f t="shared" si="43"/>
        <v>0.6219752022217141</v>
      </c>
      <c r="BH30" s="152">
        <f t="shared" si="26"/>
        <v>0</v>
      </c>
      <c r="BI30" s="152">
        <f t="shared" si="27"/>
        <v>0</v>
      </c>
      <c r="BJ30" s="153">
        <f t="shared" si="28"/>
        <v>0</v>
      </c>
      <c r="BK30" s="153">
        <f t="shared" si="29"/>
        <v>0</v>
      </c>
      <c r="BL30" s="153">
        <f t="shared" si="30"/>
        <v>0</v>
      </c>
      <c r="BM30" s="153">
        <f t="shared" si="31"/>
        <v>0</v>
      </c>
      <c r="BN30" s="154">
        <f t="shared" si="32"/>
        <v>0</v>
      </c>
      <c r="BO30" s="153">
        <f t="shared" si="33"/>
        <v>0</v>
      </c>
      <c r="BP30" s="153">
        <f t="shared" si="34"/>
        <v>0</v>
      </c>
      <c r="BQ30" s="153">
        <f t="shared" si="35"/>
        <v>0</v>
      </c>
      <c r="BR30" s="153">
        <f t="shared" si="36"/>
        <v>0</v>
      </c>
      <c r="BS30" s="220">
        <f t="shared" si="37"/>
        <v>0</v>
      </c>
      <c r="BT30" s="153">
        <f t="shared" si="38"/>
        <v>0</v>
      </c>
      <c r="BU30" s="154">
        <f t="shared" si="39"/>
        <v>0</v>
      </c>
      <c r="BV30" s="154">
        <f t="shared" si="40"/>
        <v>0</v>
      </c>
      <c r="BW30" s="150"/>
      <c r="BX30" s="155">
        <f t="shared" si="41"/>
        <v>0</v>
      </c>
      <c r="BY30" s="273">
        <f t="shared" si="44"/>
        <v>0</v>
      </c>
      <c r="CA30"/>
    </row>
    <row r="31" spans="1:79" ht="15.75" customHeight="1">
      <c r="C31" t="s">
        <v>109</v>
      </c>
      <c r="E31" s="19" t="s">
        <v>2</v>
      </c>
      <c r="F31" s="19" t="s">
        <v>50</v>
      </c>
      <c r="M31" s="55" t="s">
        <v>110</v>
      </c>
      <c r="N31" s="19" t="s">
        <v>7</v>
      </c>
      <c r="O31" s="50">
        <f>O30*E33</f>
        <v>0</v>
      </c>
      <c r="P31" s="50">
        <f>$P$29*F33</f>
        <v>0</v>
      </c>
      <c r="V31" s="57">
        <f t="shared" si="42"/>
        <v>50860</v>
      </c>
      <c r="W31" s="26">
        <v>15</v>
      </c>
      <c r="X31" s="269" t="str">
        <f t="shared" si="0"/>
        <v>-</v>
      </c>
      <c r="Y31" s="158">
        <f t="shared" si="1"/>
        <v>0</v>
      </c>
      <c r="Z31" s="156">
        <f t="shared" si="2"/>
        <v>0</v>
      </c>
      <c r="AA31" s="156">
        <f t="shared" si="3"/>
        <v>0</v>
      </c>
      <c r="AB31" s="156">
        <f t="shared" si="4"/>
        <v>0</v>
      </c>
      <c r="AC31" s="157">
        <f t="shared" si="5"/>
        <v>0</v>
      </c>
      <c r="AD31" s="158">
        <f t="shared" si="6"/>
        <v>0</v>
      </c>
      <c r="AE31" s="156">
        <f t="shared" si="7"/>
        <v>0</v>
      </c>
      <c r="AF31" s="156">
        <f t="shared" si="8"/>
        <v>0</v>
      </c>
      <c r="AG31" s="156">
        <f>IF(AND(SUM($AA$16:AA30)&gt;0,SUM($AG$16:AG30)&lt;$O$62,$W31&gt;=$O$65),$O$64,0)</f>
        <v>64.125</v>
      </c>
      <c r="AH31" s="153">
        <f>IF(SUM($AA$17:$AA30)&gt;0,($O$62-SUM($AG$17:$AG30))*$F$65,0)</f>
        <v>11.5425</v>
      </c>
      <c r="AI31" s="157">
        <f t="shared" si="9"/>
        <v>0</v>
      </c>
      <c r="AJ31" s="153">
        <f t="shared" si="10"/>
        <v>0</v>
      </c>
      <c r="AK31" s="155">
        <f>(SUM($P$31,$P$51)-SUM($AU$17:AU30))*$O$109</f>
        <v>0</v>
      </c>
      <c r="AL31" s="160"/>
      <c r="AM31" s="154">
        <f t="shared" si="11"/>
        <v>0</v>
      </c>
      <c r="AN31" s="161"/>
      <c r="AO31" s="152">
        <f t="shared" si="12"/>
        <v>0</v>
      </c>
      <c r="AP31" s="153">
        <f t="shared" si="13"/>
        <v>0</v>
      </c>
      <c r="AQ31" s="153">
        <f t="shared" si="14"/>
        <v>0</v>
      </c>
      <c r="AR31" s="156">
        <f t="shared" si="15"/>
        <v>0</v>
      </c>
      <c r="AS31" s="157">
        <f t="shared" si="16"/>
        <v>0</v>
      </c>
      <c r="AT31" s="156">
        <f t="shared" si="17"/>
        <v>0</v>
      </c>
      <c r="AU31" s="156">
        <f t="shared" si="18"/>
        <v>0</v>
      </c>
      <c r="AV31" s="156">
        <f t="shared" si="19"/>
        <v>0</v>
      </c>
      <c r="AW31" s="156">
        <f t="shared" si="20"/>
        <v>0</v>
      </c>
      <c r="AX31" s="156">
        <f t="shared" si="21"/>
        <v>0</v>
      </c>
      <c r="AY31" s="156">
        <f t="shared" si="22"/>
        <v>0</v>
      </c>
      <c r="AZ31" s="156">
        <f>IF(AND(SUM($AQ$16:AQ30)&gt;0,SUM($AZ$16:AZ30)&lt;$P$62,$W31&gt;=$P$65),$P$64,0)</f>
        <v>64.125</v>
      </c>
      <c r="BA31" s="156">
        <f>IF(SUM($AQ$17:$AQ30)&gt;0,($P$62-SUM($AZ$17:$AZ30))*$F$65,0)</f>
        <v>11.5425</v>
      </c>
      <c r="BB31" s="157">
        <f t="shared" si="23"/>
        <v>0</v>
      </c>
      <c r="BC31" s="153">
        <f t="shared" si="24"/>
        <v>0</v>
      </c>
      <c r="BD31" s="154">
        <f t="shared" si="25"/>
        <v>0</v>
      </c>
      <c r="BE31" s="163"/>
      <c r="BF31" s="46">
        <f t="shared" si="43"/>
        <v>0.60123267493640808</v>
      </c>
      <c r="BH31" s="152">
        <f t="shared" si="26"/>
        <v>0</v>
      </c>
      <c r="BI31" s="152">
        <f t="shared" si="27"/>
        <v>0</v>
      </c>
      <c r="BJ31" s="153">
        <f t="shared" si="28"/>
        <v>0</v>
      </c>
      <c r="BK31" s="153">
        <f t="shared" si="29"/>
        <v>0</v>
      </c>
      <c r="BL31" s="153">
        <f t="shared" si="30"/>
        <v>0</v>
      </c>
      <c r="BM31" s="153">
        <f t="shared" si="31"/>
        <v>0</v>
      </c>
      <c r="BN31" s="154">
        <f t="shared" si="32"/>
        <v>0</v>
      </c>
      <c r="BO31" s="153">
        <f t="shared" si="33"/>
        <v>0</v>
      </c>
      <c r="BP31" s="153">
        <f t="shared" si="34"/>
        <v>0</v>
      </c>
      <c r="BQ31" s="153">
        <f t="shared" si="35"/>
        <v>0</v>
      </c>
      <c r="BR31" s="153">
        <f t="shared" si="36"/>
        <v>0</v>
      </c>
      <c r="BS31" s="220">
        <f t="shared" si="37"/>
        <v>0</v>
      </c>
      <c r="BT31" s="153">
        <f t="shared" si="38"/>
        <v>0</v>
      </c>
      <c r="BU31" s="154">
        <f t="shared" si="39"/>
        <v>0</v>
      </c>
      <c r="BV31" s="154">
        <f t="shared" si="40"/>
        <v>0</v>
      </c>
      <c r="BW31" s="150"/>
      <c r="BX31" s="155">
        <f t="shared" si="41"/>
        <v>0</v>
      </c>
      <c r="BY31" s="273">
        <f t="shared" si="44"/>
        <v>0</v>
      </c>
      <c r="CA31"/>
    </row>
    <row r="32" spans="1:79" ht="15.75" customHeight="1">
      <c r="C32" s="2" t="s">
        <v>108</v>
      </c>
      <c r="D32" t="s">
        <v>38</v>
      </c>
      <c r="E32" s="258">
        <v>1</v>
      </c>
      <c r="F32" s="135">
        <v>1</v>
      </c>
      <c r="H32" s="71" t="s">
        <v>111</v>
      </c>
      <c r="M32" s="55" t="s">
        <v>112</v>
      </c>
      <c r="N32" s="19" t="s">
        <v>7</v>
      </c>
      <c r="O32" s="50">
        <f>SUM(O30:O31)</f>
        <v>2850</v>
      </c>
      <c r="P32" s="50">
        <f>SUM(P30:P31)</f>
        <v>2850</v>
      </c>
      <c r="V32" s="57">
        <f t="shared" si="42"/>
        <v>51226</v>
      </c>
      <c r="W32" s="26">
        <v>16</v>
      </c>
      <c r="X32" s="269" t="str">
        <f t="shared" si="0"/>
        <v>-</v>
      </c>
      <c r="Y32" s="158">
        <f t="shared" si="1"/>
        <v>0</v>
      </c>
      <c r="Z32" s="156">
        <f t="shared" si="2"/>
        <v>0</v>
      </c>
      <c r="AA32" s="156">
        <f t="shared" si="3"/>
        <v>0</v>
      </c>
      <c r="AB32" s="156">
        <f t="shared" si="4"/>
        <v>0</v>
      </c>
      <c r="AC32" s="157">
        <f t="shared" si="5"/>
        <v>0</v>
      </c>
      <c r="AD32" s="158">
        <f t="shared" si="6"/>
        <v>0</v>
      </c>
      <c r="AE32" s="156">
        <f t="shared" si="7"/>
        <v>0</v>
      </c>
      <c r="AF32" s="156">
        <f t="shared" si="8"/>
        <v>0</v>
      </c>
      <c r="AG32" s="156">
        <f>IF(AND(SUM($AA$16:AA31)&gt;0,SUM($AG$16:AG31)&lt;$O$62,$W32&gt;=$O$65),$O$64,0)</f>
        <v>64.125</v>
      </c>
      <c r="AH32" s="153">
        <f>IF(SUM($AA$17:$AA31)&gt;0,($O$62-SUM($AG$17:$AG31))*$F$65,0)</f>
        <v>10.580625</v>
      </c>
      <c r="AI32" s="157">
        <f t="shared" si="9"/>
        <v>0</v>
      </c>
      <c r="AJ32" s="153">
        <f t="shared" si="10"/>
        <v>0</v>
      </c>
      <c r="AK32" s="155">
        <f>(SUM($P$31,$P$51)-SUM($AU$17:AU31))*$O$109</f>
        <v>0</v>
      </c>
      <c r="AL32" s="160"/>
      <c r="AM32" s="154">
        <f t="shared" si="11"/>
        <v>0</v>
      </c>
      <c r="AN32" s="161"/>
      <c r="AO32" s="152">
        <f t="shared" si="12"/>
        <v>0</v>
      </c>
      <c r="AP32" s="153">
        <f t="shared" si="13"/>
        <v>0</v>
      </c>
      <c r="AQ32" s="153">
        <f t="shared" si="14"/>
        <v>0</v>
      </c>
      <c r="AR32" s="156">
        <f t="shared" si="15"/>
        <v>0</v>
      </c>
      <c r="AS32" s="157">
        <f t="shared" si="16"/>
        <v>0</v>
      </c>
      <c r="AT32" s="156">
        <f t="shared" si="17"/>
        <v>0</v>
      </c>
      <c r="AU32" s="156">
        <f t="shared" si="18"/>
        <v>0</v>
      </c>
      <c r="AV32" s="156">
        <f t="shared" si="19"/>
        <v>0</v>
      </c>
      <c r="AW32" s="156">
        <f t="shared" si="20"/>
        <v>0</v>
      </c>
      <c r="AX32" s="156">
        <f t="shared" si="21"/>
        <v>0</v>
      </c>
      <c r="AY32" s="156">
        <f t="shared" si="22"/>
        <v>0</v>
      </c>
      <c r="AZ32" s="156">
        <f>IF(AND(SUM($AQ$16:AQ31)&gt;0,SUM($AZ$16:AZ31)&lt;$P$62,$W32&gt;=$P$65),$P$64,0)</f>
        <v>64.125</v>
      </c>
      <c r="BA32" s="156">
        <f>IF(SUM($AQ$17:$AQ31)&gt;0,($P$62-SUM($AZ$17:$AZ31))*$F$65,0)</f>
        <v>10.580625</v>
      </c>
      <c r="BB32" s="157">
        <f t="shared" si="23"/>
        <v>0</v>
      </c>
      <c r="BC32" s="153">
        <f t="shared" si="24"/>
        <v>0</v>
      </c>
      <c r="BD32" s="154">
        <f t="shared" si="25"/>
        <v>0</v>
      </c>
      <c r="BE32" s="163"/>
      <c r="BF32" s="46">
        <f t="shared" si="43"/>
        <v>0.58118189940687104</v>
      </c>
      <c r="BH32" s="152">
        <f t="shared" si="26"/>
        <v>0</v>
      </c>
      <c r="BI32" s="152">
        <f t="shared" si="27"/>
        <v>0</v>
      </c>
      <c r="BJ32" s="153">
        <f t="shared" si="28"/>
        <v>0</v>
      </c>
      <c r="BK32" s="153">
        <f t="shared" si="29"/>
        <v>0</v>
      </c>
      <c r="BL32" s="153">
        <f t="shared" si="30"/>
        <v>0</v>
      </c>
      <c r="BM32" s="153">
        <f t="shared" si="31"/>
        <v>0</v>
      </c>
      <c r="BN32" s="154">
        <f t="shared" si="32"/>
        <v>0</v>
      </c>
      <c r="BO32" s="153">
        <f t="shared" si="33"/>
        <v>0</v>
      </c>
      <c r="BP32" s="153">
        <f t="shared" si="34"/>
        <v>0</v>
      </c>
      <c r="BQ32" s="153">
        <f t="shared" si="35"/>
        <v>0</v>
      </c>
      <c r="BR32" s="153">
        <f t="shared" si="36"/>
        <v>0</v>
      </c>
      <c r="BS32" s="220">
        <f t="shared" si="37"/>
        <v>0</v>
      </c>
      <c r="BT32" s="153">
        <f t="shared" si="38"/>
        <v>0</v>
      </c>
      <c r="BU32" s="154">
        <f t="shared" si="39"/>
        <v>0</v>
      </c>
      <c r="BV32" s="154">
        <f t="shared" si="40"/>
        <v>0</v>
      </c>
      <c r="BW32" s="150"/>
      <c r="BX32" s="155">
        <f t="shared" si="41"/>
        <v>0</v>
      </c>
      <c r="BY32" s="273">
        <f t="shared" si="44"/>
        <v>0</v>
      </c>
      <c r="CA32"/>
    </row>
    <row r="33" spans="2:79" ht="15.75" customHeight="1">
      <c r="C33" s="2" t="s">
        <v>110</v>
      </c>
      <c r="D33" t="s">
        <v>38</v>
      </c>
      <c r="E33" s="136"/>
      <c r="F33" s="136"/>
      <c r="V33" s="57">
        <f t="shared" si="42"/>
        <v>51591</v>
      </c>
      <c r="W33" s="26">
        <v>17</v>
      </c>
      <c r="X33" s="269" t="str">
        <f t="shared" si="0"/>
        <v>-</v>
      </c>
      <c r="Y33" s="158">
        <f t="shared" si="1"/>
        <v>0</v>
      </c>
      <c r="Z33" s="156">
        <f t="shared" si="2"/>
        <v>0</v>
      </c>
      <c r="AA33" s="156">
        <f t="shared" si="3"/>
        <v>0</v>
      </c>
      <c r="AB33" s="156">
        <f t="shared" si="4"/>
        <v>0</v>
      </c>
      <c r="AC33" s="157">
        <f t="shared" si="5"/>
        <v>0</v>
      </c>
      <c r="AD33" s="158">
        <f t="shared" si="6"/>
        <v>0</v>
      </c>
      <c r="AE33" s="156">
        <f t="shared" si="7"/>
        <v>0</v>
      </c>
      <c r="AF33" s="156">
        <f t="shared" si="8"/>
        <v>0</v>
      </c>
      <c r="AG33" s="156">
        <f>IF(AND(SUM($AA$16:AA32)&gt;0,SUM($AG$16:AG32)&lt;$O$62,$W33&gt;=$O$65),$O$64,0)</f>
        <v>64.125</v>
      </c>
      <c r="AH33" s="153">
        <f>IF(SUM($AA$17:$AA32)&gt;0,($O$62-SUM($AG$17:$AG32))*$F$65,0)</f>
        <v>9.6187500000000004</v>
      </c>
      <c r="AI33" s="157">
        <f t="shared" si="9"/>
        <v>0</v>
      </c>
      <c r="AJ33" s="153">
        <f t="shared" si="10"/>
        <v>0</v>
      </c>
      <c r="AK33" s="155">
        <f>(SUM($P$31,$P$51)-SUM($AU$17:AU32))*$O$109</f>
        <v>0</v>
      </c>
      <c r="AL33" s="160"/>
      <c r="AM33" s="154">
        <f t="shared" si="11"/>
        <v>0</v>
      </c>
      <c r="AN33" s="161"/>
      <c r="AO33" s="152">
        <f t="shared" si="12"/>
        <v>0</v>
      </c>
      <c r="AP33" s="153">
        <f t="shared" si="13"/>
        <v>0</v>
      </c>
      <c r="AQ33" s="153">
        <f t="shared" si="14"/>
        <v>0</v>
      </c>
      <c r="AR33" s="156">
        <f t="shared" si="15"/>
        <v>0</v>
      </c>
      <c r="AS33" s="157">
        <f t="shared" si="16"/>
        <v>0</v>
      </c>
      <c r="AT33" s="156">
        <f t="shared" si="17"/>
        <v>0</v>
      </c>
      <c r="AU33" s="156">
        <f t="shared" si="18"/>
        <v>0</v>
      </c>
      <c r="AV33" s="156">
        <f t="shared" si="19"/>
        <v>0</v>
      </c>
      <c r="AW33" s="156">
        <f t="shared" si="20"/>
        <v>0</v>
      </c>
      <c r="AX33" s="156">
        <f t="shared" si="21"/>
        <v>0</v>
      </c>
      <c r="AY33" s="156">
        <f t="shared" si="22"/>
        <v>0</v>
      </c>
      <c r="AZ33" s="156">
        <f>IF(AND(SUM($AQ$16:AQ32)&gt;0,SUM($AZ$16:AZ32)&lt;$P$62,$W33&gt;=$P$65),$P$64,0)</f>
        <v>64.125</v>
      </c>
      <c r="BA33" s="156">
        <f>IF(SUM($AQ$17:$AQ32)&gt;0,($P$62-SUM($AZ$17:$AZ32))*$F$65,0)</f>
        <v>9.6187500000000004</v>
      </c>
      <c r="BB33" s="157">
        <f t="shared" si="23"/>
        <v>0</v>
      </c>
      <c r="BC33" s="153">
        <f t="shared" si="24"/>
        <v>0</v>
      </c>
      <c r="BD33" s="154">
        <f t="shared" si="25"/>
        <v>0</v>
      </c>
      <c r="BE33" s="163"/>
      <c r="BF33" s="46">
        <f t="shared" si="43"/>
        <v>0.56179980609654045</v>
      </c>
      <c r="BH33" s="152">
        <f t="shared" si="26"/>
        <v>0</v>
      </c>
      <c r="BI33" s="152">
        <f t="shared" si="27"/>
        <v>0</v>
      </c>
      <c r="BJ33" s="153">
        <f t="shared" si="28"/>
        <v>0</v>
      </c>
      <c r="BK33" s="153">
        <f t="shared" si="29"/>
        <v>0</v>
      </c>
      <c r="BL33" s="153">
        <f t="shared" si="30"/>
        <v>0</v>
      </c>
      <c r="BM33" s="153">
        <f t="shared" si="31"/>
        <v>0</v>
      </c>
      <c r="BN33" s="154">
        <f t="shared" si="32"/>
        <v>0</v>
      </c>
      <c r="BO33" s="153">
        <f t="shared" si="33"/>
        <v>0</v>
      </c>
      <c r="BP33" s="153">
        <f t="shared" si="34"/>
        <v>0</v>
      </c>
      <c r="BQ33" s="153">
        <f t="shared" si="35"/>
        <v>0</v>
      </c>
      <c r="BR33" s="153">
        <f t="shared" si="36"/>
        <v>0</v>
      </c>
      <c r="BS33" s="220">
        <f t="shared" si="37"/>
        <v>0</v>
      </c>
      <c r="BT33" s="153">
        <f t="shared" si="38"/>
        <v>0</v>
      </c>
      <c r="BU33" s="154">
        <f t="shared" si="39"/>
        <v>0</v>
      </c>
      <c r="BV33" s="154">
        <f t="shared" si="40"/>
        <v>0</v>
      </c>
      <c r="BW33" s="150"/>
      <c r="BX33" s="155">
        <f t="shared" si="41"/>
        <v>0</v>
      </c>
      <c r="BY33" s="273">
        <f t="shared" si="44"/>
        <v>0</v>
      </c>
      <c r="CA33"/>
    </row>
    <row r="34" spans="2:79" ht="15.75" customHeight="1">
      <c r="E34" s="13">
        <f>SUM(E32:E33)</f>
        <v>1</v>
      </c>
      <c r="F34" s="13">
        <f>SUM(F32:F33)</f>
        <v>1</v>
      </c>
      <c r="V34" s="57">
        <f t="shared" si="42"/>
        <v>51956</v>
      </c>
      <c r="W34" s="26">
        <v>18</v>
      </c>
      <c r="X34" s="269" t="str">
        <f t="shared" si="0"/>
        <v>-</v>
      </c>
      <c r="Y34" s="158">
        <f t="shared" si="1"/>
        <v>0</v>
      </c>
      <c r="Z34" s="156">
        <f t="shared" si="2"/>
        <v>0</v>
      </c>
      <c r="AA34" s="156">
        <f t="shared" si="3"/>
        <v>0</v>
      </c>
      <c r="AB34" s="156">
        <f t="shared" si="4"/>
        <v>0</v>
      </c>
      <c r="AC34" s="157">
        <f t="shared" si="5"/>
        <v>0</v>
      </c>
      <c r="AD34" s="158">
        <f t="shared" si="6"/>
        <v>0</v>
      </c>
      <c r="AE34" s="156">
        <f t="shared" si="7"/>
        <v>0</v>
      </c>
      <c r="AF34" s="156">
        <f t="shared" si="8"/>
        <v>0</v>
      </c>
      <c r="AG34" s="156">
        <f>IF(AND(SUM($AA$16:AA33)&gt;0,SUM($AG$16:AG33)&lt;$O$62,$W34&gt;=$O$65),$O$64,0)</f>
        <v>64.125</v>
      </c>
      <c r="AH34" s="153">
        <f>IF(SUM($AA$17:$AA33)&gt;0,($O$62-SUM($AG$17:$AG33))*$F$65,0)</f>
        <v>8.6568749999999994</v>
      </c>
      <c r="AI34" s="157">
        <f t="shared" si="9"/>
        <v>0</v>
      </c>
      <c r="AJ34" s="153">
        <f t="shared" si="10"/>
        <v>0</v>
      </c>
      <c r="AK34" s="155">
        <f>(SUM($P$31,$P$51)-SUM($AU$17:AU33))*$O$109</f>
        <v>0</v>
      </c>
      <c r="AL34" s="160"/>
      <c r="AM34" s="154">
        <f t="shared" si="11"/>
        <v>0</v>
      </c>
      <c r="AN34" s="161"/>
      <c r="AO34" s="152">
        <f t="shared" si="12"/>
        <v>0</v>
      </c>
      <c r="AP34" s="153">
        <f t="shared" si="13"/>
        <v>0</v>
      </c>
      <c r="AQ34" s="153">
        <f t="shared" si="14"/>
        <v>0</v>
      </c>
      <c r="AR34" s="156">
        <f t="shared" si="15"/>
        <v>0</v>
      </c>
      <c r="AS34" s="157">
        <f t="shared" si="16"/>
        <v>0</v>
      </c>
      <c r="AT34" s="156">
        <f t="shared" si="17"/>
        <v>0</v>
      </c>
      <c r="AU34" s="156">
        <f t="shared" si="18"/>
        <v>0</v>
      </c>
      <c r="AV34" s="156">
        <f t="shared" si="19"/>
        <v>0</v>
      </c>
      <c r="AW34" s="156">
        <f t="shared" si="20"/>
        <v>0</v>
      </c>
      <c r="AX34" s="156">
        <f t="shared" si="21"/>
        <v>0</v>
      </c>
      <c r="AY34" s="156">
        <f t="shared" si="22"/>
        <v>0</v>
      </c>
      <c r="AZ34" s="156">
        <f>IF(AND(SUM($AQ$16:AQ33)&gt;0,SUM($AZ$16:AZ33)&lt;$P$62,$W34&gt;=$P$65),$P$64,0)</f>
        <v>64.125</v>
      </c>
      <c r="BA34" s="156">
        <f>IF(SUM($AQ$17:$AQ33)&gt;0,($P$62-SUM($AZ$17:$AZ33))*$F$65,0)</f>
        <v>8.6568749999999994</v>
      </c>
      <c r="BB34" s="157">
        <f t="shared" si="23"/>
        <v>0</v>
      </c>
      <c r="BC34" s="153">
        <f t="shared" si="24"/>
        <v>0</v>
      </c>
      <c r="BD34" s="154">
        <f t="shared" si="25"/>
        <v>0</v>
      </c>
      <c r="BE34" s="163"/>
      <c r="BF34" s="46">
        <f t="shared" si="43"/>
        <v>0.54306409482507534</v>
      </c>
      <c r="BH34" s="152">
        <f t="shared" si="26"/>
        <v>0</v>
      </c>
      <c r="BI34" s="152">
        <f t="shared" si="27"/>
        <v>0</v>
      </c>
      <c r="BJ34" s="153">
        <f t="shared" si="28"/>
        <v>0</v>
      </c>
      <c r="BK34" s="153">
        <f t="shared" si="29"/>
        <v>0</v>
      </c>
      <c r="BL34" s="153">
        <f t="shared" si="30"/>
        <v>0</v>
      </c>
      <c r="BM34" s="153">
        <f t="shared" si="31"/>
        <v>0</v>
      </c>
      <c r="BN34" s="154">
        <f t="shared" si="32"/>
        <v>0</v>
      </c>
      <c r="BO34" s="153">
        <f t="shared" si="33"/>
        <v>0</v>
      </c>
      <c r="BP34" s="153">
        <f t="shared" si="34"/>
        <v>0</v>
      </c>
      <c r="BQ34" s="153">
        <f t="shared" si="35"/>
        <v>0</v>
      </c>
      <c r="BR34" s="153">
        <f t="shared" si="36"/>
        <v>0</v>
      </c>
      <c r="BS34" s="220">
        <f t="shared" si="37"/>
        <v>0</v>
      </c>
      <c r="BT34" s="153">
        <f t="shared" si="38"/>
        <v>0</v>
      </c>
      <c r="BU34" s="154">
        <f t="shared" si="39"/>
        <v>0</v>
      </c>
      <c r="BV34" s="154">
        <f t="shared" si="40"/>
        <v>0</v>
      </c>
      <c r="BW34" s="150"/>
      <c r="BX34" s="155">
        <f t="shared" si="41"/>
        <v>0</v>
      </c>
      <c r="BY34" s="273">
        <f t="shared" si="44"/>
        <v>0</v>
      </c>
      <c r="CA34"/>
    </row>
    <row r="35" spans="2:79" ht="15.75" customHeight="1">
      <c r="B35" s="55" t="s">
        <v>113</v>
      </c>
      <c r="C35" s="2" t="s">
        <v>114</v>
      </c>
      <c r="D35" t="s">
        <v>38</v>
      </c>
      <c r="F35" s="15">
        <v>0</v>
      </c>
      <c r="H35" s="147" t="s">
        <v>115</v>
      </c>
      <c r="J35" s="101" t="s">
        <v>116</v>
      </c>
      <c r="P35" t="s">
        <v>50</v>
      </c>
      <c r="V35" s="57">
        <f t="shared" si="42"/>
        <v>52321</v>
      </c>
      <c r="W35" s="26">
        <v>19</v>
      </c>
      <c r="X35" s="269" t="str">
        <f t="shared" si="0"/>
        <v>-</v>
      </c>
      <c r="Y35" s="158">
        <f t="shared" si="1"/>
        <v>0</v>
      </c>
      <c r="Z35" s="156">
        <f t="shared" si="2"/>
        <v>0</v>
      </c>
      <c r="AA35" s="156">
        <f t="shared" si="3"/>
        <v>0</v>
      </c>
      <c r="AB35" s="156">
        <f t="shared" si="4"/>
        <v>0</v>
      </c>
      <c r="AC35" s="157">
        <f t="shared" si="5"/>
        <v>0</v>
      </c>
      <c r="AD35" s="158">
        <f t="shared" si="6"/>
        <v>0</v>
      </c>
      <c r="AE35" s="156">
        <f t="shared" si="7"/>
        <v>0</v>
      </c>
      <c r="AF35" s="156">
        <f t="shared" si="8"/>
        <v>0</v>
      </c>
      <c r="AG35" s="156">
        <f>IF(AND(SUM($AA$16:AA34)&gt;0,SUM($AG$16:AG34)&lt;$O$62,$W35&gt;=$O$65),$O$64,0)</f>
        <v>64.125</v>
      </c>
      <c r="AH35" s="153">
        <f>IF(SUM($AA$17:$AA34)&gt;0,($O$62-SUM($AG$17:$AG34))*$F$65,0)</f>
        <v>7.6949999999999994</v>
      </c>
      <c r="AI35" s="157">
        <f t="shared" si="9"/>
        <v>0</v>
      </c>
      <c r="AJ35" s="153">
        <f t="shared" si="10"/>
        <v>0</v>
      </c>
      <c r="AK35" s="155">
        <f>(SUM($P$31,$P$51)-SUM($AU$17:AU34))*$O$109</f>
        <v>0</v>
      </c>
      <c r="AL35" s="160"/>
      <c r="AM35" s="154">
        <f t="shared" si="11"/>
        <v>0</v>
      </c>
      <c r="AN35" s="161"/>
      <c r="AO35" s="152">
        <f t="shared" si="12"/>
        <v>0</v>
      </c>
      <c r="AP35" s="153">
        <f t="shared" si="13"/>
        <v>0</v>
      </c>
      <c r="AQ35" s="153">
        <f t="shared" si="14"/>
        <v>0</v>
      </c>
      <c r="AR35" s="156">
        <f t="shared" si="15"/>
        <v>0</v>
      </c>
      <c r="AS35" s="157">
        <f t="shared" si="16"/>
        <v>0</v>
      </c>
      <c r="AT35" s="156">
        <f t="shared" si="17"/>
        <v>0</v>
      </c>
      <c r="AU35" s="156">
        <f t="shared" si="18"/>
        <v>0</v>
      </c>
      <c r="AV35" s="156">
        <f t="shared" si="19"/>
        <v>0</v>
      </c>
      <c r="AW35" s="156">
        <f t="shared" si="20"/>
        <v>0</v>
      </c>
      <c r="AX35" s="156">
        <f t="shared" si="21"/>
        <v>0</v>
      </c>
      <c r="AY35" s="156">
        <f t="shared" si="22"/>
        <v>0</v>
      </c>
      <c r="AZ35" s="156">
        <f>IF(AND(SUM($AQ$16:AQ34)&gt;0,SUM($AZ$16:AZ34)&lt;$P$62,$W35&gt;=$P$65),$P$64,0)</f>
        <v>64.125</v>
      </c>
      <c r="BA35" s="156">
        <f>IF(SUM($AQ$17:$AQ34)&gt;0,($P$62-SUM($AZ$17:$AZ34))*$F$65,0)</f>
        <v>7.6949999999999994</v>
      </c>
      <c r="BB35" s="157">
        <f t="shared" si="23"/>
        <v>0</v>
      </c>
      <c r="BC35" s="153">
        <f t="shared" si="24"/>
        <v>0</v>
      </c>
      <c r="BD35" s="154">
        <f t="shared" si="25"/>
        <v>0</v>
      </c>
      <c r="BE35" s="163"/>
      <c r="BF35" s="46">
        <f t="shared" si="43"/>
        <v>0.52495320911075438</v>
      </c>
      <c r="BH35" s="152">
        <f t="shared" si="26"/>
        <v>0</v>
      </c>
      <c r="BI35" s="152">
        <f t="shared" si="27"/>
        <v>0</v>
      </c>
      <c r="BJ35" s="153">
        <f t="shared" si="28"/>
        <v>0</v>
      </c>
      <c r="BK35" s="153">
        <f t="shared" si="29"/>
        <v>0</v>
      </c>
      <c r="BL35" s="153">
        <f t="shared" si="30"/>
        <v>0</v>
      </c>
      <c r="BM35" s="153">
        <f t="shared" si="31"/>
        <v>0</v>
      </c>
      <c r="BN35" s="154">
        <f t="shared" si="32"/>
        <v>0</v>
      </c>
      <c r="BO35" s="153">
        <f t="shared" si="33"/>
        <v>0</v>
      </c>
      <c r="BP35" s="153">
        <f t="shared" si="34"/>
        <v>0</v>
      </c>
      <c r="BQ35" s="153">
        <f t="shared" si="35"/>
        <v>0</v>
      </c>
      <c r="BR35" s="153">
        <f t="shared" si="36"/>
        <v>0</v>
      </c>
      <c r="BS35" s="220">
        <f t="shared" si="37"/>
        <v>0</v>
      </c>
      <c r="BT35" s="153">
        <f t="shared" si="38"/>
        <v>0</v>
      </c>
      <c r="BU35" s="154">
        <f t="shared" si="39"/>
        <v>0</v>
      </c>
      <c r="BV35" s="154">
        <f t="shared" si="40"/>
        <v>0</v>
      </c>
      <c r="BW35" s="150"/>
      <c r="BX35" s="155">
        <f t="shared" si="41"/>
        <v>0</v>
      </c>
      <c r="BY35" s="273">
        <f t="shared" si="44"/>
        <v>0</v>
      </c>
      <c r="CA35"/>
    </row>
    <row r="36" spans="2:79" ht="15.75" customHeight="1">
      <c r="C36" s="2" t="s">
        <v>117</v>
      </c>
      <c r="D36" t="s">
        <v>38</v>
      </c>
      <c r="F36" s="137">
        <f>F70</f>
        <v>0</v>
      </c>
      <c r="H36" s="147" t="s">
        <v>115</v>
      </c>
      <c r="J36" s="4"/>
      <c r="K36" s="55" t="s">
        <v>118</v>
      </c>
      <c r="N36" s="19" t="s">
        <v>38</v>
      </c>
      <c r="O36" s="52"/>
      <c r="P36" s="36">
        <f>SUM(F35:F37)</f>
        <v>0</v>
      </c>
      <c r="V36" s="57">
        <f t="shared" si="42"/>
        <v>52687</v>
      </c>
      <c r="W36" s="26">
        <v>20</v>
      </c>
      <c r="X36" s="269" t="str">
        <f t="shared" si="0"/>
        <v>-</v>
      </c>
      <c r="Y36" s="158">
        <f t="shared" si="1"/>
        <v>0</v>
      </c>
      <c r="Z36" s="156">
        <f t="shared" si="2"/>
        <v>0</v>
      </c>
      <c r="AA36" s="156">
        <f t="shared" si="3"/>
        <v>0</v>
      </c>
      <c r="AB36" s="156">
        <f t="shared" si="4"/>
        <v>0</v>
      </c>
      <c r="AC36" s="157">
        <f t="shared" si="5"/>
        <v>0</v>
      </c>
      <c r="AD36" s="158">
        <f t="shared" si="6"/>
        <v>0</v>
      </c>
      <c r="AE36" s="156">
        <f t="shared" si="7"/>
        <v>0</v>
      </c>
      <c r="AF36" s="156">
        <f t="shared" si="8"/>
        <v>0</v>
      </c>
      <c r="AG36" s="156">
        <f>IF(AND(SUM($AA$16:AA35)&gt;0,SUM($AG$16:AG35)&lt;$O$62,$W36&gt;=$O$65),$O$64,0)</f>
        <v>64.125</v>
      </c>
      <c r="AH36" s="153">
        <f>IF(SUM($AA$17:$AA35)&gt;0,($O$62-SUM($AG$17:$AG35))*$F$65,0)</f>
        <v>6.7331249999999994</v>
      </c>
      <c r="AI36" s="157">
        <f t="shared" si="9"/>
        <v>0</v>
      </c>
      <c r="AJ36" s="153">
        <f t="shared" si="10"/>
        <v>0</v>
      </c>
      <c r="AK36" s="155">
        <f>(SUM($P$31,$P$51)-SUM($AU$17:AU35))*$O$109</f>
        <v>0</v>
      </c>
      <c r="AL36" s="160"/>
      <c r="AM36" s="154">
        <f t="shared" si="11"/>
        <v>0</v>
      </c>
      <c r="AN36" s="161"/>
      <c r="AO36" s="152">
        <f t="shared" si="12"/>
        <v>0</v>
      </c>
      <c r="AP36" s="153">
        <f t="shared" si="13"/>
        <v>0</v>
      </c>
      <c r="AQ36" s="153">
        <f t="shared" si="14"/>
        <v>0</v>
      </c>
      <c r="AR36" s="156">
        <f t="shared" si="15"/>
        <v>0</v>
      </c>
      <c r="AS36" s="157">
        <f t="shared" si="16"/>
        <v>0</v>
      </c>
      <c r="AT36" s="156">
        <f t="shared" si="17"/>
        <v>0</v>
      </c>
      <c r="AU36" s="156">
        <f t="shared" si="18"/>
        <v>0</v>
      </c>
      <c r="AV36" s="156">
        <f t="shared" si="19"/>
        <v>0</v>
      </c>
      <c r="AW36" s="156">
        <f t="shared" si="20"/>
        <v>0</v>
      </c>
      <c r="AX36" s="156">
        <f t="shared" si="21"/>
        <v>0</v>
      </c>
      <c r="AY36" s="156">
        <f t="shared" si="22"/>
        <v>0</v>
      </c>
      <c r="AZ36" s="156">
        <f>IF(AND(SUM($AQ$16:AQ35)&gt;0,SUM($AZ$16:AZ35)&lt;$P$62,$W36&gt;=$P$65),$P$64,0)</f>
        <v>64.125</v>
      </c>
      <c r="BA36" s="156">
        <f>IF(SUM($AQ$17:$AQ35)&gt;0,($P$62-SUM($AZ$17:$AZ35))*$F$65,0)</f>
        <v>6.7331249999999994</v>
      </c>
      <c r="BB36" s="157">
        <f t="shared" si="23"/>
        <v>0</v>
      </c>
      <c r="BC36" s="153">
        <f t="shared" si="24"/>
        <v>0</v>
      </c>
      <c r="BD36" s="154">
        <f t="shared" si="25"/>
        <v>0</v>
      </c>
      <c r="BE36" s="163"/>
      <c r="BF36" s="46">
        <f t="shared" si="43"/>
        <v>0.50744631136853979</v>
      </c>
      <c r="BH36" s="152">
        <f t="shared" si="26"/>
        <v>0</v>
      </c>
      <c r="BI36" s="152">
        <f t="shared" si="27"/>
        <v>0</v>
      </c>
      <c r="BJ36" s="153">
        <f t="shared" si="28"/>
        <v>0</v>
      </c>
      <c r="BK36" s="153">
        <f t="shared" si="29"/>
        <v>0</v>
      </c>
      <c r="BL36" s="153">
        <f t="shared" si="30"/>
        <v>0</v>
      </c>
      <c r="BM36" s="153">
        <f t="shared" si="31"/>
        <v>0</v>
      </c>
      <c r="BN36" s="154">
        <f t="shared" si="32"/>
        <v>0</v>
      </c>
      <c r="BO36" s="153">
        <f t="shared" si="33"/>
        <v>0</v>
      </c>
      <c r="BP36" s="153">
        <f t="shared" si="34"/>
        <v>0</v>
      </c>
      <c r="BQ36" s="153">
        <f t="shared" si="35"/>
        <v>0</v>
      </c>
      <c r="BR36" s="153">
        <f t="shared" si="36"/>
        <v>0</v>
      </c>
      <c r="BS36" s="220">
        <f t="shared" si="37"/>
        <v>0</v>
      </c>
      <c r="BT36" s="153">
        <f t="shared" si="38"/>
        <v>0</v>
      </c>
      <c r="BU36" s="154">
        <f t="shared" si="39"/>
        <v>0</v>
      </c>
      <c r="BV36" s="154">
        <f t="shared" si="40"/>
        <v>0</v>
      </c>
      <c r="BW36" s="150"/>
      <c r="BX36" s="155">
        <f t="shared" si="41"/>
        <v>0</v>
      </c>
      <c r="BY36" s="273">
        <f t="shared" si="44"/>
        <v>0</v>
      </c>
      <c r="CA36"/>
    </row>
    <row r="37" spans="2:79" ht="15.75" customHeight="1">
      <c r="C37" s="2" t="s">
        <v>119</v>
      </c>
      <c r="D37" t="s">
        <v>38</v>
      </c>
      <c r="F37" s="15">
        <v>0</v>
      </c>
      <c r="H37" s="147" t="s">
        <v>115</v>
      </c>
      <c r="V37" s="57">
        <f t="shared" si="42"/>
        <v>53052</v>
      </c>
      <c r="W37" s="26">
        <v>21</v>
      </c>
      <c r="X37" s="269" t="str">
        <f t="shared" si="0"/>
        <v>-</v>
      </c>
      <c r="Y37" s="158">
        <f t="shared" si="1"/>
        <v>0</v>
      </c>
      <c r="Z37" s="156">
        <f t="shared" si="2"/>
        <v>0</v>
      </c>
      <c r="AA37" s="156">
        <f t="shared" si="3"/>
        <v>0</v>
      </c>
      <c r="AB37" s="156">
        <f t="shared" si="4"/>
        <v>0</v>
      </c>
      <c r="AC37" s="157">
        <f t="shared" si="5"/>
        <v>0</v>
      </c>
      <c r="AD37" s="158">
        <f t="shared" si="6"/>
        <v>0</v>
      </c>
      <c r="AE37" s="156">
        <f t="shared" si="7"/>
        <v>0</v>
      </c>
      <c r="AF37" s="156">
        <f t="shared" si="8"/>
        <v>0</v>
      </c>
      <c r="AG37" s="156">
        <f>IF(AND(SUM($AA$16:AA36)&gt;0,SUM($AG$16:AG36)&lt;$O$62,$W37&gt;=$O$65),$O$64,0)</f>
        <v>64.125</v>
      </c>
      <c r="AH37" s="153">
        <f>IF(SUM($AA$17:$AA36)&gt;0,($O$62-SUM($AG$17:$AG36))*$F$65,0)</f>
        <v>5.7712500000000002</v>
      </c>
      <c r="AI37" s="157">
        <f t="shared" si="9"/>
        <v>0</v>
      </c>
      <c r="AJ37" s="153">
        <f t="shared" si="10"/>
        <v>0</v>
      </c>
      <c r="AK37" s="155">
        <f>(SUM($P$31,$P$51)-SUM($AU$17:AU36))*$O$109</f>
        <v>0</v>
      </c>
      <c r="AL37" s="160"/>
      <c r="AM37" s="154">
        <f t="shared" si="11"/>
        <v>0</v>
      </c>
      <c r="AN37" s="161"/>
      <c r="AO37" s="152">
        <f t="shared" si="12"/>
        <v>0</v>
      </c>
      <c r="AP37" s="153">
        <f t="shared" si="13"/>
        <v>0</v>
      </c>
      <c r="AQ37" s="153">
        <f t="shared" si="14"/>
        <v>0</v>
      </c>
      <c r="AR37" s="156">
        <f t="shared" si="15"/>
        <v>0</v>
      </c>
      <c r="AS37" s="157">
        <f t="shared" si="16"/>
        <v>0</v>
      </c>
      <c r="AT37" s="156">
        <f t="shared" si="17"/>
        <v>0</v>
      </c>
      <c r="AU37" s="156">
        <f t="shared" si="18"/>
        <v>0</v>
      </c>
      <c r="AV37" s="156">
        <f t="shared" si="19"/>
        <v>0</v>
      </c>
      <c r="AW37" s="156">
        <f t="shared" si="20"/>
        <v>0</v>
      </c>
      <c r="AX37" s="156">
        <f t="shared" si="21"/>
        <v>0</v>
      </c>
      <c r="AY37" s="156">
        <f t="shared" si="22"/>
        <v>0</v>
      </c>
      <c r="AZ37" s="156">
        <f>IF(AND(SUM($AQ$16:AQ36)&gt;0,SUM($AZ$16:AZ36)&lt;$P$62,$W37&gt;=$P$65),$P$64,0)</f>
        <v>64.125</v>
      </c>
      <c r="BA37" s="156">
        <f>IF(SUM($AQ$17:$AQ36)&gt;0,($P$62-SUM($AZ$17:$AZ36))*$F$65,0)</f>
        <v>5.7712500000000002</v>
      </c>
      <c r="BB37" s="157">
        <f t="shared" si="23"/>
        <v>0</v>
      </c>
      <c r="BC37" s="153">
        <f t="shared" si="24"/>
        <v>0</v>
      </c>
      <c r="BD37" s="154">
        <f t="shared" si="25"/>
        <v>0</v>
      </c>
      <c r="BE37" s="163"/>
      <c r="BF37" s="46">
        <f t="shared" si="43"/>
        <v>0.49052325893527288</v>
      </c>
      <c r="BH37" s="152">
        <f t="shared" si="26"/>
        <v>0</v>
      </c>
      <c r="BI37" s="152">
        <f t="shared" si="27"/>
        <v>0</v>
      </c>
      <c r="BJ37" s="153">
        <f t="shared" si="28"/>
        <v>0</v>
      </c>
      <c r="BK37" s="153">
        <f t="shared" si="29"/>
        <v>0</v>
      </c>
      <c r="BL37" s="153">
        <f t="shared" si="30"/>
        <v>0</v>
      </c>
      <c r="BM37" s="153">
        <f t="shared" si="31"/>
        <v>0</v>
      </c>
      <c r="BN37" s="154">
        <f t="shared" si="32"/>
        <v>0</v>
      </c>
      <c r="BO37" s="153">
        <f t="shared" si="33"/>
        <v>0</v>
      </c>
      <c r="BP37" s="153">
        <f t="shared" si="34"/>
        <v>0</v>
      </c>
      <c r="BQ37" s="153">
        <f t="shared" si="35"/>
        <v>0</v>
      </c>
      <c r="BR37" s="153">
        <f t="shared" si="36"/>
        <v>0</v>
      </c>
      <c r="BS37" s="220">
        <f t="shared" si="37"/>
        <v>0</v>
      </c>
      <c r="BT37" s="153">
        <f t="shared" si="38"/>
        <v>0</v>
      </c>
      <c r="BU37" s="154">
        <f t="shared" si="39"/>
        <v>0</v>
      </c>
      <c r="BV37" s="154">
        <f t="shared" si="40"/>
        <v>0</v>
      </c>
      <c r="BW37" s="150"/>
      <c r="BX37" s="155">
        <f t="shared" si="41"/>
        <v>0</v>
      </c>
      <c r="BY37" s="273">
        <f t="shared" si="44"/>
        <v>0</v>
      </c>
      <c r="CA37"/>
    </row>
    <row r="38" spans="2:79" ht="15.75" customHeight="1">
      <c r="C38" s="98"/>
      <c r="D38" s="100" t="s">
        <v>120</v>
      </c>
      <c r="E38" s="99"/>
      <c r="F38" s="97">
        <f>BY15</f>
        <v>0</v>
      </c>
      <c r="V38" s="57">
        <f t="shared" si="42"/>
        <v>53417</v>
      </c>
      <c r="W38" s="26">
        <v>22</v>
      </c>
      <c r="X38" s="269" t="str">
        <f t="shared" si="0"/>
        <v>-</v>
      </c>
      <c r="Y38" s="158">
        <f t="shared" si="1"/>
        <v>0</v>
      </c>
      <c r="Z38" s="156">
        <f t="shared" si="2"/>
        <v>0</v>
      </c>
      <c r="AA38" s="156">
        <f t="shared" si="3"/>
        <v>0</v>
      </c>
      <c r="AB38" s="156">
        <f t="shared" si="4"/>
        <v>0</v>
      </c>
      <c r="AC38" s="157">
        <f t="shared" si="5"/>
        <v>0</v>
      </c>
      <c r="AD38" s="158">
        <f t="shared" si="6"/>
        <v>0</v>
      </c>
      <c r="AE38" s="156">
        <f t="shared" si="7"/>
        <v>0</v>
      </c>
      <c r="AF38" s="156">
        <f t="shared" si="8"/>
        <v>0</v>
      </c>
      <c r="AG38" s="156">
        <f>IF(AND(SUM($AA$16:AA37)&gt;0,SUM($AG$16:AG37)&lt;$O$62,$W38&gt;=$O$65),$O$64,0)</f>
        <v>64.125</v>
      </c>
      <c r="AH38" s="153">
        <f>IF(SUM($AA$17:$AA37)&gt;0,($O$62-SUM($AG$17:$AG37))*$F$65,0)</f>
        <v>4.8093750000000002</v>
      </c>
      <c r="AI38" s="157">
        <f t="shared" si="9"/>
        <v>0</v>
      </c>
      <c r="AJ38" s="153">
        <f t="shared" si="10"/>
        <v>0</v>
      </c>
      <c r="AK38" s="155">
        <f>(SUM($P$31,$P$51)-SUM($AU$17:AU37))*$O$109</f>
        <v>0</v>
      </c>
      <c r="AL38" s="160"/>
      <c r="AM38" s="154">
        <f t="shared" si="11"/>
        <v>0</v>
      </c>
      <c r="AN38" s="161"/>
      <c r="AO38" s="152">
        <f t="shared" si="12"/>
        <v>0</v>
      </c>
      <c r="AP38" s="153">
        <f t="shared" si="13"/>
        <v>0</v>
      </c>
      <c r="AQ38" s="153">
        <f t="shared" si="14"/>
        <v>0</v>
      </c>
      <c r="AR38" s="156">
        <f t="shared" si="15"/>
        <v>0</v>
      </c>
      <c r="AS38" s="157">
        <f t="shared" si="16"/>
        <v>0</v>
      </c>
      <c r="AT38" s="156">
        <f t="shared" si="17"/>
        <v>0</v>
      </c>
      <c r="AU38" s="156">
        <f t="shared" si="18"/>
        <v>0</v>
      </c>
      <c r="AV38" s="156">
        <f t="shared" si="19"/>
        <v>0</v>
      </c>
      <c r="AW38" s="156">
        <f t="shared" si="20"/>
        <v>0</v>
      </c>
      <c r="AX38" s="156">
        <f t="shared" si="21"/>
        <v>0</v>
      </c>
      <c r="AY38" s="156">
        <f t="shared" si="22"/>
        <v>0</v>
      </c>
      <c r="AZ38" s="156">
        <f>IF(AND(SUM($AQ$16:AQ37)&gt;0,SUM($AZ$16:AZ37)&lt;$P$62,$W38&gt;=$P$65),$P$64,0)</f>
        <v>64.125</v>
      </c>
      <c r="BA38" s="156">
        <f>IF(SUM($AQ$17:$AQ37)&gt;0,($P$62-SUM($AZ$17:$AZ37))*$F$65,0)</f>
        <v>4.8093750000000002</v>
      </c>
      <c r="BB38" s="157">
        <f t="shared" si="23"/>
        <v>0</v>
      </c>
      <c r="BC38" s="153">
        <f t="shared" si="24"/>
        <v>0</v>
      </c>
      <c r="BD38" s="154">
        <f t="shared" si="25"/>
        <v>0</v>
      </c>
      <c r="BE38" s="163"/>
      <c r="BF38" s="46">
        <f t="shared" si="43"/>
        <v>0.47416458089441554</v>
      </c>
      <c r="BH38" s="152">
        <f t="shared" si="26"/>
        <v>0</v>
      </c>
      <c r="BI38" s="152">
        <f t="shared" si="27"/>
        <v>0</v>
      </c>
      <c r="BJ38" s="153">
        <f t="shared" si="28"/>
        <v>0</v>
      </c>
      <c r="BK38" s="153">
        <f t="shared" si="29"/>
        <v>0</v>
      </c>
      <c r="BL38" s="153">
        <f t="shared" si="30"/>
        <v>0</v>
      </c>
      <c r="BM38" s="153">
        <f t="shared" si="31"/>
        <v>0</v>
      </c>
      <c r="BN38" s="154">
        <f t="shared" si="32"/>
        <v>0</v>
      </c>
      <c r="BO38" s="153">
        <f t="shared" si="33"/>
        <v>0</v>
      </c>
      <c r="BP38" s="153">
        <f t="shared" si="34"/>
        <v>0</v>
      </c>
      <c r="BQ38" s="153">
        <f t="shared" si="35"/>
        <v>0</v>
      </c>
      <c r="BR38" s="153">
        <f t="shared" si="36"/>
        <v>0</v>
      </c>
      <c r="BS38" s="220">
        <f t="shared" si="37"/>
        <v>0</v>
      </c>
      <c r="BT38" s="153">
        <f t="shared" si="38"/>
        <v>0</v>
      </c>
      <c r="BU38" s="154">
        <f t="shared" si="39"/>
        <v>0</v>
      </c>
      <c r="BV38" s="154">
        <f t="shared" si="40"/>
        <v>0</v>
      </c>
      <c r="BW38" s="150"/>
      <c r="BX38" s="155">
        <f t="shared" si="41"/>
        <v>0</v>
      </c>
      <c r="BY38" s="273">
        <f t="shared" si="44"/>
        <v>0</v>
      </c>
      <c r="CA38"/>
    </row>
    <row r="39" spans="2:79" ht="15.75" customHeight="1">
      <c r="V39" s="57">
        <f t="shared" si="42"/>
        <v>53782</v>
      </c>
      <c r="W39" s="26">
        <v>23</v>
      </c>
      <c r="X39" s="269" t="str">
        <f t="shared" si="0"/>
        <v>-</v>
      </c>
      <c r="Y39" s="158">
        <f t="shared" si="1"/>
        <v>0</v>
      </c>
      <c r="Z39" s="156">
        <f t="shared" si="2"/>
        <v>0</v>
      </c>
      <c r="AA39" s="156">
        <f t="shared" si="3"/>
        <v>0</v>
      </c>
      <c r="AB39" s="156">
        <f t="shared" si="4"/>
        <v>0</v>
      </c>
      <c r="AC39" s="157">
        <f t="shared" si="5"/>
        <v>0</v>
      </c>
      <c r="AD39" s="158">
        <f t="shared" si="6"/>
        <v>0</v>
      </c>
      <c r="AE39" s="156">
        <f t="shared" si="7"/>
        <v>0</v>
      </c>
      <c r="AF39" s="156">
        <f t="shared" si="8"/>
        <v>0</v>
      </c>
      <c r="AG39" s="156">
        <f>IF(AND(SUM($AA$16:AA38)&gt;0,SUM($AG$16:AG38)&lt;$O$62,$W39&gt;=$O$65),$O$64,0)</f>
        <v>64.125</v>
      </c>
      <c r="AH39" s="153">
        <f>IF(SUM($AA$17:$AA38)&gt;0,($O$62-SUM($AG$17:$AG38))*$F$65,0)</f>
        <v>3.8474999999999997</v>
      </c>
      <c r="AI39" s="157">
        <f t="shared" si="9"/>
        <v>0</v>
      </c>
      <c r="AJ39" s="153">
        <f t="shared" si="10"/>
        <v>0</v>
      </c>
      <c r="AK39" s="155">
        <f>(SUM($P$31,$P$51)-SUM($AU$17:AU38))*$O$109</f>
        <v>0</v>
      </c>
      <c r="AL39" s="160"/>
      <c r="AM39" s="154">
        <f t="shared" si="11"/>
        <v>0</v>
      </c>
      <c r="AN39" s="161"/>
      <c r="AO39" s="152">
        <f t="shared" si="12"/>
        <v>0</v>
      </c>
      <c r="AP39" s="153">
        <f t="shared" si="13"/>
        <v>0</v>
      </c>
      <c r="AQ39" s="153">
        <f t="shared" si="14"/>
        <v>0</v>
      </c>
      <c r="AR39" s="156">
        <f t="shared" si="15"/>
        <v>0</v>
      </c>
      <c r="AS39" s="157">
        <f t="shared" si="16"/>
        <v>0</v>
      </c>
      <c r="AT39" s="156">
        <f t="shared" si="17"/>
        <v>0</v>
      </c>
      <c r="AU39" s="156">
        <f t="shared" si="18"/>
        <v>0</v>
      </c>
      <c r="AV39" s="156">
        <f t="shared" si="19"/>
        <v>0</v>
      </c>
      <c r="AW39" s="156">
        <f t="shared" si="20"/>
        <v>0</v>
      </c>
      <c r="AX39" s="156">
        <f t="shared" si="21"/>
        <v>0</v>
      </c>
      <c r="AY39" s="156">
        <f t="shared" si="22"/>
        <v>0</v>
      </c>
      <c r="AZ39" s="156">
        <f>IF(AND(SUM($AQ$16:AQ38)&gt;0,SUM($AZ$16:AZ38)&lt;$P$62,$W39&gt;=$P$65),$P$64,0)</f>
        <v>64.125</v>
      </c>
      <c r="BA39" s="156">
        <f>IF(SUM($AQ$17:$AQ38)&gt;0,($P$62-SUM($AZ$17:$AZ38))*$F$65,0)</f>
        <v>3.8474999999999997</v>
      </c>
      <c r="BB39" s="157">
        <f t="shared" si="23"/>
        <v>0</v>
      </c>
      <c r="BC39" s="153">
        <f t="shared" si="24"/>
        <v>0</v>
      </c>
      <c r="BD39" s="154">
        <f t="shared" si="25"/>
        <v>0</v>
      </c>
      <c r="BE39" s="163"/>
      <c r="BF39" s="46">
        <f t="shared" si="43"/>
        <v>0.4583514556736738</v>
      </c>
      <c r="BH39" s="152">
        <f t="shared" si="26"/>
        <v>0</v>
      </c>
      <c r="BI39" s="152">
        <f t="shared" si="27"/>
        <v>0</v>
      </c>
      <c r="BJ39" s="153">
        <f t="shared" si="28"/>
        <v>0</v>
      </c>
      <c r="BK39" s="153">
        <f t="shared" si="29"/>
        <v>0</v>
      </c>
      <c r="BL39" s="153">
        <f t="shared" si="30"/>
        <v>0</v>
      </c>
      <c r="BM39" s="153">
        <f t="shared" si="31"/>
        <v>0</v>
      </c>
      <c r="BN39" s="154">
        <f t="shared" si="32"/>
        <v>0</v>
      </c>
      <c r="BO39" s="153">
        <f t="shared" si="33"/>
        <v>0</v>
      </c>
      <c r="BP39" s="153">
        <f t="shared" si="34"/>
        <v>0</v>
      </c>
      <c r="BQ39" s="153">
        <f t="shared" si="35"/>
        <v>0</v>
      </c>
      <c r="BR39" s="153">
        <f t="shared" si="36"/>
        <v>0</v>
      </c>
      <c r="BS39" s="220">
        <f t="shared" si="37"/>
        <v>0</v>
      </c>
      <c r="BT39" s="153">
        <f t="shared" si="38"/>
        <v>0</v>
      </c>
      <c r="BU39" s="154">
        <f t="shared" si="39"/>
        <v>0</v>
      </c>
      <c r="BV39" s="154">
        <f t="shared" si="40"/>
        <v>0</v>
      </c>
      <c r="BW39" s="150"/>
      <c r="BX39" s="155">
        <f t="shared" si="41"/>
        <v>0</v>
      </c>
      <c r="BY39" s="273">
        <f t="shared" si="44"/>
        <v>0</v>
      </c>
      <c r="CA39"/>
    </row>
    <row r="40" spans="2:79" ht="15.75" customHeight="1">
      <c r="B40" t="s">
        <v>121</v>
      </c>
      <c r="D40" t="s">
        <v>7</v>
      </c>
      <c r="F40" s="136"/>
      <c r="H40" s="71" t="s">
        <v>122</v>
      </c>
      <c r="J40" s="4" t="s">
        <v>123</v>
      </c>
      <c r="V40" s="57">
        <f t="shared" si="42"/>
        <v>54148</v>
      </c>
      <c r="W40" s="26">
        <v>24</v>
      </c>
      <c r="X40" s="269" t="str">
        <f t="shared" si="0"/>
        <v>-</v>
      </c>
      <c r="Y40" s="158">
        <f t="shared" si="1"/>
        <v>0</v>
      </c>
      <c r="Z40" s="156">
        <f t="shared" si="2"/>
        <v>0</v>
      </c>
      <c r="AA40" s="156">
        <f t="shared" si="3"/>
        <v>0</v>
      </c>
      <c r="AB40" s="156">
        <f t="shared" si="4"/>
        <v>0</v>
      </c>
      <c r="AC40" s="157">
        <f t="shared" si="5"/>
        <v>0</v>
      </c>
      <c r="AD40" s="158">
        <f t="shared" si="6"/>
        <v>0</v>
      </c>
      <c r="AE40" s="156">
        <f t="shared" si="7"/>
        <v>0</v>
      </c>
      <c r="AF40" s="156">
        <f t="shared" si="8"/>
        <v>0</v>
      </c>
      <c r="AG40" s="156">
        <f>IF(AND(SUM($AA$16:AA39)&gt;0,SUM($AG$16:AG39)&lt;$O$62,$W40&gt;=$O$65),$O$64,0)</f>
        <v>64.125</v>
      </c>
      <c r="AH40" s="153">
        <f>IF(SUM($AA$17:$AA39)&gt;0,($O$62-SUM($AG$17:$AG39))*$F$65,0)</f>
        <v>2.8856250000000001</v>
      </c>
      <c r="AI40" s="157">
        <f t="shared" si="9"/>
        <v>0</v>
      </c>
      <c r="AJ40" s="153">
        <f t="shared" si="10"/>
        <v>0</v>
      </c>
      <c r="AK40" s="155">
        <f>(SUM($P$31,$P$51)-SUM($AU$17:AU39))*$O$109</f>
        <v>0</v>
      </c>
      <c r="AL40" s="160"/>
      <c r="AM40" s="154">
        <f t="shared" si="11"/>
        <v>0</v>
      </c>
      <c r="AN40" s="161"/>
      <c r="AO40" s="152">
        <f t="shared" si="12"/>
        <v>0</v>
      </c>
      <c r="AP40" s="153">
        <f t="shared" si="13"/>
        <v>0</v>
      </c>
      <c r="AQ40" s="153">
        <f t="shared" si="14"/>
        <v>0</v>
      </c>
      <c r="AR40" s="156">
        <f t="shared" si="15"/>
        <v>0</v>
      </c>
      <c r="AS40" s="157">
        <f t="shared" si="16"/>
        <v>0</v>
      </c>
      <c r="AT40" s="156">
        <f t="shared" si="17"/>
        <v>0</v>
      </c>
      <c r="AU40" s="156">
        <f t="shared" si="18"/>
        <v>0</v>
      </c>
      <c r="AV40" s="156">
        <f t="shared" si="19"/>
        <v>0</v>
      </c>
      <c r="AW40" s="156">
        <f t="shared" si="20"/>
        <v>0</v>
      </c>
      <c r="AX40" s="156">
        <f t="shared" si="21"/>
        <v>0</v>
      </c>
      <c r="AY40" s="156">
        <f t="shared" si="22"/>
        <v>0</v>
      </c>
      <c r="AZ40" s="156">
        <f>IF(AND(SUM($AQ$16:AQ39)&gt;0,SUM($AZ$16:AZ39)&lt;$P$62,$W40&gt;=$P$65),$P$64,0)</f>
        <v>64.125</v>
      </c>
      <c r="BA40" s="156">
        <f>IF(SUM($AQ$17:$AQ39)&gt;0,($P$62-SUM($AZ$17:$AZ39))*$F$65,0)</f>
        <v>2.8856250000000001</v>
      </c>
      <c r="BB40" s="157">
        <f t="shared" si="23"/>
        <v>0</v>
      </c>
      <c r="BC40" s="153">
        <f t="shared" si="24"/>
        <v>0</v>
      </c>
      <c r="BD40" s="154">
        <f t="shared" si="25"/>
        <v>0</v>
      </c>
      <c r="BE40" s="163"/>
      <c r="BF40" s="46">
        <f t="shared" si="43"/>
        <v>0.44306568938972818</v>
      </c>
      <c r="BH40" s="152">
        <f t="shared" si="26"/>
        <v>0</v>
      </c>
      <c r="BI40" s="152">
        <f t="shared" si="27"/>
        <v>0</v>
      </c>
      <c r="BJ40" s="153">
        <f t="shared" si="28"/>
        <v>0</v>
      </c>
      <c r="BK40" s="153">
        <f t="shared" si="29"/>
        <v>0</v>
      </c>
      <c r="BL40" s="153">
        <f t="shared" si="30"/>
        <v>0</v>
      </c>
      <c r="BM40" s="153">
        <f t="shared" si="31"/>
        <v>0</v>
      </c>
      <c r="BN40" s="154">
        <f t="shared" si="32"/>
        <v>0</v>
      </c>
      <c r="BO40" s="153">
        <f t="shared" si="33"/>
        <v>0</v>
      </c>
      <c r="BP40" s="153">
        <f t="shared" si="34"/>
        <v>0</v>
      </c>
      <c r="BQ40" s="153">
        <f t="shared" si="35"/>
        <v>0</v>
      </c>
      <c r="BR40" s="153">
        <f t="shared" si="36"/>
        <v>0</v>
      </c>
      <c r="BS40" s="220">
        <f t="shared" si="37"/>
        <v>0</v>
      </c>
      <c r="BT40" s="153">
        <f t="shared" si="38"/>
        <v>0</v>
      </c>
      <c r="BU40" s="154">
        <f t="shared" si="39"/>
        <v>0</v>
      </c>
      <c r="BV40" s="154">
        <f t="shared" si="40"/>
        <v>0</v>
      </c>
      <c r="BW40" s="150"/>
      <c r="BX40" s="155">
        <f t="shared" si="41"/>
        <v>0</v>
      </c>
      <c r="BY40" s="273">
        <f t="shared" si="44"/>
        <v>0</v>
      </c>
      <c r="CA40"/>
    </row>
    <row r="41" spans="2:79" ht="15.75" customHeight="1">
      <c r="C41" s="2" t="s">
        <v>105</v>
      </c>
      <c r="D41" t="s">
        <v>7</v>
      </c>
      <c r="F41" s="136"/>
      <c r="K41" t="s">
        <v>124</v>
      </c>
      <c r="N41" s="19" t="s">
        <v>7</v>
      </c>
      <c r="O41" s="21">
        <f>F40</f>
        <v>0</v>
      </c>
      <c r="P41" s="68">
        <f>F40*(1-F52)</f>
        <v>0</v>
      </c>
      <c r="Q41" t="s">
        <v>106</v>
      </c>
      <c r="V41" s="57">
        <f t="shared" si="42"/>
        <v>54513</v>
      </c>
      <c r="W41" s="26">
        <v>25</v>
      </c>
      <c r="X41" s="269" t="str">
        <f t="shared" si="0"/>
        <v>-</v>
      </c>
      <c r="Y41" s="158">
        <f t="shared" si="1"/>
        <v>0</v>
      </c>
      <c r="Z41" s="156">
        <f t="shared" si="2"/>
        <v>0</v>
      </c>
      <c r="AA41" s="156">
        <f t="shared" si="3"/>
        <v>0</v>
      </c>
      <c r="AB41" s="156">
        <f t="shared" si="4"/>
        <v>0</v>
      </c>
      <c r="AC41" s="157">
        <f t="shared" si="5"/>
        <v>0</v>
      </c>
      <c r="AD41" s="158">
        <f t="shared" si="6"/>
        <v>0</v>
      </c>
      <c r="AE41" s="156">
        <f t="shared" si="7"/>
        <v>0</v>
      </c>
      <c r="AF41" s="156">
        <f t="shared" si="8"/>
        <v>0</v>
      </c>
      <c r="AG41" s="156">
        <f>IF(AND(SUM($AA$16:AA40)&gt;0,SUM($AG$16:AG40)&lt;$O$62,$W41&gt;=$O$65),$O$64,0)</f>
        <v>64.125</v>
      </c>
      <c r="AH41" s="153">
        <f>IF(SUM($AA$17:$AA40)&gt;0,($O$62-SUM($AG$17:$AG40))*$F$65,0)</f>
        <v>1.9237499999999998</v>
      </c>
      <c r="AI41" s="157">
        <f t="shared" si="9"/>
        <v>0</v>
      </c>
      <c r="AJ41" s="153">
        <f t="shared" si="10"/>
        <v>0</v>
      </c>
      <c r="AK41" s="155">
        <f>(SUM($P$31,$P$51)-SUM($AU$17:AU40))*$O$109</f>
        <v>0</v>
      </c>
      <c r="AL41" s="160"/>
      <c r="AM41" s="154">
        <f t="shared" si="11"/>
        <v>0</v>
      </c>
      <c r="AN41" s="161"/>
      <c r="AO41" s="152">
        <f t="shared" si="12"/>
        <v>0</v>
      </c>
      <c r="AP41" s="153">
        <f t="shared" si="13"/>
        <v>0</v>
      </c>
      <c r="AQ41" s="153">
        <f t="shared" si="14"/>
        <v>0</v>
      </c>
      <c r="AR41" s="156">
        <f t="shared" si="15"/>
        <v>0</v>
      </c>
      <c r="AS41" s="157">
        <f t="shared" si="16"/>
        <v>0</v>
      </c>
      <c r="AT41" s="156">
        <f t="shared" si="17"/>
        <v>0</v>
      </c>
      <c r="AU41" s="156">
        <f t="shared" si="18"/>
        <v>0</v>
      </c>
      <c r="AV41" s="156">
        <f t="shared" si="19"/>
        <v>0</v>
      </c>
      <c r="AW41" s="156">
        <f t="shared" si="20"/>
        <v>0</v>
      </c>
      <c r="AX41" s="156">
        <f t="shared" si="21"/>
        <v>0</v>
      </c>
      <c r="AY41" s="156">
        <f t="shared" si="22"/>
        <v>0</v>
      </c>
      <c r="AZ41" s="156">
        <f>IF(AND(SUM($AQ$16:AQ40)&gt;0,SUM($AZ$16:AZ40)&lt;$P$62,$W41&gt;=$P$65),$P$64,0)</f>
        <v>64.125</v>
      </c>
      <c r="BA41" s="156">
        <f>IF(SUM($AQ$17:$AQ40)&gt;0,($P$62-SUM($AZ$17:$AZ40))*$F$65,0)</f>
        <v>1.9237499999999998</v>
      </c>
      <c r="BB41" s="157">
        <f t="shared" si="23"/>
        <v>0</v>
      </c>
      <c r="BC41" s="153">
        <f t="shared" si="24"/>
        <v>0</v>
      </c>
      <c r="BD41" s="154">
        <f t="shared" si="25"/>
        <v>0</v>
      </c>
      <c r="BE41" s="163"/>
      <c r="BF41" s="46">
        <f t="shared" si="43"/>
        <v>0.42828969491515534</v>
      </c>
      <c r="BH41" s="152">
        <f t="shared" si="26"/>
        <v>0</v>
      </c>
      <c r="BI41" s="152">
        <f t="shared" si="27"/>
        <v>0</v>
      </c>
      <c r="BJ41" s="153">
        <f t="shared" si="28"/>
        <v>0</v>
      </c>
      <c r="BK41" s="153">
        <f t="shared" si="29"/>
        <v>0</v>
      </c>
      <c r="BL41" s="153">
        <f t="shared" si="30"/>
        <v>0</v>
      </c>
      <c r="BM41" s="153">
        <f t="shared" si="31"/>
        <v>0</v>
      </c>
      <c r="BN41" s="154">
        <f t="shared" si="32"/>
        <v>0</v>
      </c>
      <c r="BO41" s="153">
        <f t="shared" si="33"/>
        <v>0</v>
      </c>
      <c r="BP41" s="153">
        <f t="shared" si="34"/>
        <v>0</v>
      </c>
      <c r="BQ41" s="153">
        <f t="shared" si="35"/>
        <v>0</v>
      </c>
      <c r="BR41" s="153">
        <f t="shared" si="36"/>
        <v>0</v>
      </c>
      <c r="BS41" s="220">
        <f t="shared" si="37"/>
        <v>0</v>
      </c>
      <c r="BT41" s="153">
        <f t="shared" si="38"/>
        <v>0</v>
      </c>
      <c r="BU41" s="154">
        <f t="shared" si="39"/>
        <v>0</v>
      </c>
      <c r="BV41" s="154">
        <f t="shared" si="40"/>
        <v>0</v>
      </c>
      <c r="BW41" s="150"/>
      <c r="BX41" s="155">
        <f t="shared" si="41"/>
        <v>0</v>
      </c>
      <c r="BY41" s="273">
        <f t="shared" si="44"/>
        <v>0</v>
      </c>
      <c r="CA41"/>
    </row>
    <row r="42" spans="2:79" ht="15.75" customHeight="1">
      <c r="C42" s="2" t="s">
        <v>125</v>
      </c>
      <c r="D42" t="s">
        <v>7</v>
      </c>
      <c r="F42" s="136"/>
      <c r="K42" t="s">
        <v>126</v>
      </c>
      <c r="N42" s="19" t="s">
        <v>7</v>
      </c>
      <c r="O42" s="52"/>
      <c r="P42" s="52"/>
      <c r="Q42" t="s">
        <v>127</v>
      </c>
      <c r="V42" s="57">
        <f t="shared" si="42"/>
        <v>54878</v>
      </c>
      <c r="W42" s="26">
        <v>26</v>
      </c>
      <c r="X42" s="269" t="str">
        <f t="shared" si="0"/>
        <v>-</v>
      </c>
      <c r="Y42" s="158">
        <f t="shared" si="1"/>
        <v>0</v>
      </c>
      <c r="Z42" s="156">
        <f t="shared" si="2"/>
        <v>0</v>
      </c>
      <c r="AA42" s="156">
        <f t="shared" si="3"/>
        <v>0</v>
      </c>
      <c r="AB42" s="156">
        <f t="shared" si="4"/>
        <v>0</v>
      </c>
      <c r="AC42" s="157">
        <f t="shared" si="5"/>
        <v>0</v>
      </c>
      <c r="AD42" s="158">
        <f t="shared" si="6"/>
        <v>0</v>
      </c>
      <c r="AE42" s="156">
        <f t="shared" si="7"/>
        <v>0</v>
      </c>
      <c r="AF42" s="156">
        <f t="shared" si="8"/>
        <v>0</v>
      </c>
      <c r="AG42" s="156">
        <f>IF(AND(SUM($AA$16:AA41)&gt;0,SUM($AG$16:AG41)&lt;$O$62,$W42&gt;=$O$65),$O$64,0)</f>
        <v>64.125</v>
      </c>
      <c r="AH42" s="153">
        <f>IF(SUM($AA$17:$AA41)&gt;0,($O$62-SUM($AG$17:$AG41))*$F$65,0)</f>
        <v>0.96187499999999992</v>
      </c>
      <c r="AI42" s="157">
        <f t="shared" si="9"/>
        <v>0</v>
      </c>
      <c r="AJ42" s="153">
        <f t="shared" si="10"/>
        <v>0</v>
      </c>
      <c r="AK42" s="155">
        <f>(SUM($P$31,$P$51)-SUM($AU$17:AU41))*$O$109</f>
        <v>0</v>
      </c>
      <c r="AL42" s="160"/>
      <c r="AM42" s="154">
        <f t="shared" si="11"/>
        <v>0</v>
      </c>
      <c r="AN42" s="161"/>
      <c r="AO42" s="152">
        <f t="shared" si="12"/>
        <v>0</v>
      </c>
      <c r="AP42" s="153">
        <f t="shared" si="13"/>
        <v>0</v>
      </c>
      <c r="AQ42" s="153">
        <f t="shared" si="14"/>
        <v>0</v>
      </c>
      <c r="AR42" s="156">
        <f t="shared" si="15"/>
        <v>0</v>
      </c>
      <c r="AS42" s="157">
        <f t="shared" si="16"/>
        <v>0</v>
      </c>
      <c r="AT42" s="156">
        <f t="shared" si="17"/>
        <v>0</v>
      </c>
      <c r="AU42" s="156">
        <f t="shared" si="18"/>
        <v>0</v>
      </c>
      <c r="AV42" s="156">
        <f t="shared" si="19"/>
        <v>0</v>
      </c>
      <c r="AW42" s="156">
        <f t="shared" si="20"/>
        <v>0</v>
      </c>
      <c r="AX42" s="156">
        <f t="shared" si="21"/>
        <v>0</v>
      </c>
      <c r="AY42" s="156">
        <f t="shared" si="22"/>
        <v>0</v>
      </c>
      <c r="AZ42" s="156">
        <f>IF(AND(SUM($AQ$16:AQ41)&gt;0,SUM($AZ$16:AZ41)&lt;$P$62,$W42&gt;=$P$65),$P$64,0)</f>
        <v>64.125</v>
      </c>
      <c r="BA42" s="156">
        <f>IF(SUM($AQ$17:$AQ41)&gt;0,($P$62-SUM($AZ$17:$AZ41))*$F$65,0)</f>
        <v>0.96187499999999992</v>
      </c>
      <c r="BB42" s="157">
        <f t="shared" si="23"/>
        <v>0</v>
      </c>
      <c r="BC42" s="153">
        <f t="shared" si="24"/>
        <v>0</v>
      </c>
      <c r="BD42" s="154">
        <f t="shared" si="25"/>
        <v>0</v>
      </c>
      <c r="BE42" s="163"/>
      <c r="BF42" s="46">
        <f t="shared" si="43"/>
        <v>0.41400647164345611</v>
      </c>
      <c r="BH42" s="152">
        <f t="shared" si="26"/>
        <v>0</v>
      </c>
      <c r="BI42" s="152">
        <f t="shared" si="27"/>
        <v>0</v>
      </c>
      <c r="BJ42" s="153">
        <f t="shared" si="28"/>
        <v>0</v>
      </c>
      <c r="BK42" s="153">
        <f t="shared" si="29"/>
        <v>0</v>
      </c>
      <c r="BL42" s="153">
        <f t="shared" si="30"/>
        <v>0</v>
      </c>
      <c r="BM42" s="153">
        <f t="shared" si="31"/>
        <v>0</v>
      </c>
      <c r="BN42" s="154">
        <f t="shared" si="32"/>
        <v>0</v>
      </c>
      <c r="BO42" s="153">
        <f t="shared" si="33"/>
        <v>0</v>
      </c>
      <c r="BP42" s="153">
        <f t="shared" si="34"/>
        <v>0</v>
      </c>
      <c r="BQ42" s="153">
        <f t="shared" si="35"/>
        <v>0</v>
      </c>
      <c r="BR42" s="153">
        <f t="shared" si="36"/>
        <v>0</v>
      </c>
      <c r="BS42" s="220">
        <f t="shared" si="37"/>
        <v>0</v>
      </c>
      <c r="BT42" s="153">
        <f t="shared" si="38"/>
        <v>0</v>
      </c>
      <c r="BU42" s="154">
        <f t="shared" si="39"/>
        <v>0</v>
      </c>
      <c r="BV42" s="154">
        <f t="shared" si="40"/>
        <v>0</v>
      </c>
      <c r="BW42" s="150"/>
      <c r="BX42" s="155">
        <f t="shared" si="41"/>
        <v>0</v>
      </c>
      <c r="BY42" s="273">
        <f t="shared" si="44"/>
        <v>0</v>
      </c>
      <c r="CA42"/>
    </row>
    <row r="43" spans="2:79" ht="15.75" customHeight="1">
      <c r="B43" t="s">
        <v>128</v>
      </c>
      <c r="E43" s="19" t="s">
        <v>2</v>
      </c>
      <c r="F43" s="19" t="s">
        <v>50</v>
      </c>
      <c r="K43" t="s">
        <v>129</v>
      </c>
      <c r="N43" s="19" t="s">
        <v>7</v>
      </c>
      <c r="O43" s="52"/>
      <c r="P43" s="52"/>
      <c r="V43" s="57">
        <f t="shared" si="42"/>
        <v>55243</v>
      </c>
      <c r="W43" s="26">
        <v>27</v>
      </c>
      <c r="X43" s="269" t="str">
        <f t="shared" si="0"/>
        <v>-</v>
      </c>
      <c r="Y43" s="158">
        <f t="shared" si="1"/>
        <v>0</v>
      </c>
      <c r="Z43" s="156">
        <f t="shared" si="2"/>
        <v>0</v>
      </c>
      <c r="AA43" s="156">
        <f t="shared" si="3"/>
        <v>0</v>
      </c>
      <c r="AB43" s="156">
        <f t="shared" si="4"/>
        <v>0</v>
      </c>
      <c r="AC43" s="157">
        <f t="shared" si="5"/>
        <v>0</v>
      </c>
      <c r="AD43" s="158">
        <f t="shared" si="6"/>
        <v>0</v>
      </c>
      <c r="AE43" s="156">
        <f t="shared" si="7"/>
        <v>0</v>
      </c>
      <c r="AF43" s="156">
        <f t="shared" si="8"/>
        <v>0</v>
      </c>
      <c r="AG43" s="156">
        <f>IF(AND(SUM($AA$16:AA42)&gt;0,SUM($AG$16:AG42)&lt;$O$62,$W43&gt;=$O$65),$O$64,0)</f>
        <v>0</v>
      </c>
      <c r="AH43" s="153">
        <f>IF(SUM($AA$17:$AA42)&gt;0,($O$62-SUM($AG$17:$AG42))*$F$65,0)</f>
        <v>0</v>
      </c>
      <c r="AI43" s="157">
        <f t="shared" si="9"/>
        <v>0</v>
      </c>
      <c r="AJ43" s="153">
        <f t="shared" si="10"/>
        <v>0</v>
      </c>
      <c r="AK43" s="155">
        <f>(SUM($P$31,$P$51)-SUM($AU$17:AU42))*$O$109</f>
        <v>0</v>
      </c>
      <c r="AL43" s="160"/>
      <c r="AM43" s="154">
        <f t="shared" si="11"/>
        <v>0</v>
      </c>
      <c r="AN43" s="161"/>
      <c r="AO43" s="152">
        <f t="shared" si="12"/>
        <v>0</v>
      </c>
      <c r="AP43" s="153">
        <f t="shared" si="13"/>
        <v>0</v>
      </c>
      <c r="AQ43" s="153">
        <f t="shared" si="14"/>
        <v>0</v>
      </c>
      <c r="AR43" s="156">
        <f t="shared" si="15"/>
        <v>0</v>
      </c>
      <c r="AS43" s="157">
        <f t="shared" si="16"/>
        <v>0</v>
      </c>
      <c r="AT43" s="156">
        <f t="shared" si="17"/>
        <v>0</v>
      </c>
      <c r="AU43" s="156">
        <f t="shared" si="18"/>
        <v>0</v>
      </c>
      <c r="AV43" s="156">
        <f t="shared" si="19"/>
        <v>0</v>
      </c>
      <c r="AW43" s="156">
        <f t="shared" si="20"/>
        <v>0</v>
      </c>
      <c r="AX43" s="156">
        <f t="shared" si="21"/>
        <v>0</v>
      </c>
      <c r="AY43" s="156">
        <f t="shared" si="22"/>
        <v>0</v>
      </c>
      <c r="AZ43" s="156">
        <f>IF(AND(SUM($AQ$16:AQ42)&gt;0,SUM($AZ$16:AZ42)&lt;$P$62,$W43&gt;=$P$65),$P$64,0)</f>
        <v>0</v>
      </c>
      <c r="BA43" s="156">
        <f>IF(SUM($AQ$17:$AQ42)&gt;0,($P$62-SUM($AZ$17:$AZ42))*$F$65,0)</f>
        <v>0</v>
      </c>
      <c r="BB43" s="157">
        <f t="shared" si="23"/>
        <v>0</v>
      </c>
      <c r="BC43" s="153">
        <f t="shared" si="24"/>
        <v>0</v>
      </c>
      <c r="BD43" s="154">
        <f t="shared" si="25"/>
        <v>0</v>
      </c>
      <c r="BE43" s="163"/>
      <c r="BF43" s="46">
        <f t="shared" si="43"/>
        <v>0.40019958592890875</v>
      </c>
      <c r="BH43" s="152">
        <f t="shared" si="26"/>
        <v>0</v>
      </c>
      <c r="BI43" s="152">
        <f t="shared" si="27"/>
        <v>0</v>
      </c>
      <c r="BJ43" s="153">
        <f t="shared" si="28"/>
        <v>0</v>
      </c>
      <c r="BK43" s="153">
        <f t="shared" si="29"/>
        <v>0</v>
      </c>
      <c r="BL43" s="153">
        <f t="shared" si="30"/>
        <v>0</v>
      </c>
      <c r="BM43" s="153">
        <f t="shared" si="31"/>
        <v>0</v>
      </c>
      <c r="BN43" s="154">
        <f t="shared" si="32"/>
        <v>0</v>
      </c>
      <c r="BO43" s="153">
        <f t="shared" si="33"/>
        <v>0</v>
      </c>
      <c r="BP43" s="153">
        <f t="shared" si="34"/>
        <v>0</v>
      </c>
      <c r="BQ43" s="153">
        <f t="shared" si="35"/>
        <v>0</v>
      </c>
      <c r="BR43" s="153">
        <f t="shared" si="36"/>
        <v>0</v>
      </c>
      <c r="BS43" s="220">
        <f t="shared" si="37"/>
        <v>0</v>
      </c>
      <c r="BT43" s="153">
        <f t="shared" si="38"/>
        <v>0</v>
      </c>
      <c r="BU43" s="154">
        <f t="shared" si="39"/>
        <v>0</v>
      </c>
      <c r="BV43" s="154">
        <f t="shared" si="40"/>
        <v>0</v>
      </c>
      <c r="BW43" s="150"/>
      <c r="BX43" s="155">
        <f t="shared" si="41"/>
        <v>0</v>
      </c>
      <c r="BY43" s="273">
        <f t="shared" si="44"/>
        <v>0</v>
      </c>
      <c r="CA43"/>
    </row>
    <row r="44" spans="2:79" ht="15.75" customHeight="1">
      <c r="C44" s="265" t="s">
        <v>130</v>
      </c>
      <c r="D44" t="s">
        <v>7</v>
      </c>
      <c r="E44" s="266"/>
      <c r="F44" s="187">
        <v>25</v>
      </c>
      <c r="K44" t="s">
        <v>131</v>
      </c>
      <c r="N44" s="19" t="s">
        <v>7</v>
      </c>
      <c r="O44" s="21">
        <f>O41*$F$17</f>
        <v>0</v>
      </c>
      <c r="P44" s="21">
        <f>P43*$F$17</f>
        <v>0</v>
      </c>
      <c r="V44" s="57">
        <f t="shared" si="42"/>
        <v>55609</v>
      </c>
      <c r="W44" s="26">
        <v>28</v>
      </c>
      <c r="X44" s="269" t="str">
        <f t="shared" si="0"/>
        <v>-</v>
      </c>
      <c r="Y44" s="158">
        <f t="shared" si="1"/>
        <v>0</v>
      </c>
      <c r="Z44" s="156">
        <f t="shared" si="2"/>
        <v>0</v>
      </c>
      <c r="AA44" s="156">
        <f t="shared" si="3"/>
        <v>0</v>
      </c>
      <c r="AB44" s="156">
        <f t="shared" si="4"/>
        <v>0</v>
      </c>
      <c r="AC44" s="157">
        <f t="shared" si="5"/>
        <v>0</v>
      </c>
      <c r="AD44" s="158">
        <f t="shared" si="6"/>
        <v>0</v>
      </c>
      <c r="AE44" s="156">
        <f t="shared" si="7"/>
        <v>0</v>
      </c>
      <c r="AF44" s="156">
        <f t="shared" si="8"/>
        <v>0</v>
      </c>
      <c r="AG44" s="156">
        <f>IF(AND(SUM($AA$16:AA43)&gt;0,SUM($AG$16:AG43)&lt;$O$62,$W44&gt;=$O$65),$O$64,0)</f>
        <v>0</v>
      </c>
      <c r="AH44" s="153">
        <f>IF(SUM($AA$17:$AA43)&gt;0,($O$62-SUM($AG$17:$AG43))*$F$65,0)</f>
        <v>0</v>
      </c>
      <c r="AI44" s="157">
        <f t="shared" si="9"/>
        <v>0</v>
      </c>
      <c r="AJ44" s="153">
        <f t="shared" si="10"/>
        <v>0</v>
      </c>
      <c r="AK44" s="155">
        <f>(SUM($P$31,$P$51)-SUM($AU$17:AU43))*$O$109</f>
        <v>0</v>
      </c>
      <c r="AL44" s="160"/>
      <c r="AM44" s="154">
        <f t="shared" si="11"/>
        <v>0</v>
      </c>
      <c r="AN44" s="161"/>
      <c r="AO44" s="152">
        <f t="shared" si="12"/>
        <v>0</v>
      </c>
      <c r="AP44" s="153">
        <f t="shared" si="13"/>
        <v>0</v>
      </c>
      <c r="AQ44" s="153">
        <f t="shared" si="14"/>
        <v>0</v>
      </c>
      <c r="AR44" s="156">
        <f t="shared" si="15"/>
        <v>0</v>
      </c>
      <c r="AS44" s="157">
        <f t="shared" si="16"/>
        <v>0</v>
      </c>
      <c r="AT44" s="156">
        <f t="shared" si="17"/>
        <v>0</v>
      </c>
      <c r="AU44" s="156">
        <f t="shared" si="18"/>
        <v>0</v>
      </c>
      <c r="AV44" s="156">
        <f t="shared" si="19"/>
        <v>0</v>
      </c>
      <c r="AW44" s="156">
        <f t="shared" si="20"/>
        <v>0</v>
      </c>
      <c r="AX44" s="156">
        <f t="shared" si="21"/>
        <v>0</v>
      </c>
      <c r="AY44" s="156">
        <f t="shared" si="22"/>
        <v>0</v>
      </c>
      <c r="AZ44" s="156">
        <f>IF(AND(SUM($AQ$16:AQ43)&gt;0,SUM($AZ$16:AZ43)&lt;$P$62,$W44&gt;=$P$65),$P$64,0)</f>
        <v>0</v>
      </c>
      <c r="BA44" s="156">
        <f>IF(SUM($AQ$17:$AQ43)&gt;0,($P$62-SUM($AZ$17:$AZ43))*$F$65,0)</f>
        <v>0</v>
      </c>
      <c r="BB44" s="157">
        <f t="shared" si="23"/>
        <v>0</v>
      </c>
      <c r="BC44" s="153">
        <f t="shared" si="24"/>
        <v>0</v>
      </c>
      <c r="BD44" s="154">
        <f t="shared" si="25"/>
        <v>0</v>
      </c>
      <c r="BE44" s="163"/>
      <c r="BF44" s="46">
        <f t="shared" si="43"/>
        <v>0.38685315217874217</v>
      </c>
      <c r="BH44" s="152">
        <f t="shared" si="26"/>
        <v>0</v>
      </c>
      <c r="BI44" s="152">
        <f t="shared" si="27"/>
        <v>0</v>
      </c>
      <c r="BJ44" s="153">
        <f t="shared" si="28"/>
        <v>0</v>
      </c>
      <c r="BK44" s="153">
        <f t="shared" si="29"/>
        <v>0</v>
      </c>
      <c r="BL44" s="153">
        <f t="shared" si="30"/>
        <v>0</v>
      </c>
      <c r="BM44" s="153">
        <f t="shared" si="31"/>
        <v>0</v>
      </c>
      <c r="BN44" s="154">
        <f t="shared" si="32"/>
        <v>0</v>
      </c>
      <c r="BO44" s="153">
        <f t="shared" si="33"/>
        <v>0</v>
      </c>
      <c r="BP44" s="153">
        <f t="shared" si="34"/>
        <v>0</v>
      </c>
      <c r="BQ44" s="153">
        <f t="shared" si="35"/>
        <v>0</v>
      </c>
      <c r="BR44" s="153">
        <f t="shared" si="36"/>
        <v>0</v>
      </c>
      <c r="BS44" s="220">
        <f t="shared" si="37"/>
        <v>0</v>
      </c>
      <c r="BT44" s="153">
        <f t="shared" si="38"/>
        <v>0</v>
      </c>
      <c r="BU44" s="154">
        <f t="shared" si="39"/>
        <v>0</v>
      </c>
      <c r="BV44" s="154">
        <f t="shared" si="40"/>
        <v>0</v>
      </c>
      <c r="BW44" s="150"/>
      <c r="BX44" s="155">
        <f t="shared" si="41"/>
        <v>0</v>
      </c>
      <c r="BY44" s="273">
        <f t="shared" si="44"/>
        <v>0</v>
      </c>
      <c r="CA44"/>
    </row>
    <row r="45" spans="2:79" ht="15.75" customHeight="1">
      <c r="C45" t="s">
        <v>132</v>
      </c>
      <c r="D45" t="s">
        <v>7</v>
      </c>
      <c r="E45" s="187">
        <v>10</v>
      </c>
      <c r="F45" s="187">
        <v>6</v>
      </c>
      <c r="V45" s="57">
        <f t="shared" si="42"/>
        <v>55974</v>
      </c>
      <c r="W45" s="26">
        <v>29</v>
      </c>
      <c r="X45" s="269" t="str">
        <f t="shared" si="0"/>
        <v>-</v>
      </c>
      <c r="Y45" s="158">
        <f t="shared" si="1"/>
        <v>0</v>
      </c>
      <c r="Z45" s="156">
        <f t="shared" si="2"/>
        <v>0</v>
      </c>
      <c r="AA45" s="156">
        <f t="shared" si="3"/>
        <v>0</v>
      </c>
      <c r="AB45" s="156">
        <f t="shared" si="4"/>
        <v>0</v>
      </c>
      <c r="AC45" s="157">
        <f t="shared" si="5"/>
        <v>0</v>
      </c>
      <c r="AD45" s="158">
        <f t="shared" si="6"/>
        <v>0</v>
      </c>
      <c r="AE45" s="156">
        <f t="shared" si="7"/>
        <v>0</v>
      </c>
      <c r="AF45" s="156">
        <f t="shared" si="8"/>
        <v>0</v>
      </c>
      <c r="AG45" s="156">
        <f>IF(AND(SUM($AA$16:AA44)&gt;0,SUM($AG$16:AG44)&lt;$O$62,$W45&gt;=$O$65),$O$64,0)</f>
        <v>0</v>
      </c>
      <c r="AH45" s="153">
        <f>IF(SUM($AA$17:$AA44)&gt;0,($O$62-SUM($AG$17:$AG44))*$F$65,0)</f>
        <v>0</v>
      </c>
      <c r="AI45" s="157">
        <f t="shared" si="9"/>
        <v>0</v>
      </c>
      <c r="AJ45" s="153">
        <f t="shared" si="10"/>
        <v>0</v>
      </c>
      <c r="AK45" s="155">
        <f>(SUM($P$31,$P$51)-SUM($AU$17:AU44))*$O$109</f>
        <v>0</v>
      </c>
      <c r="AL45" s="160"/>
      <c r="AM45" s="154">
        <f t="shared" si="11"/>
        <v>0</v>
      </c>
      <c r="AN45" s="161"/>
      <c r="AO45" s="152">
        <f t="shared" si="12"/>
        <v>0</v>
      </c>
      <c r="AP45" s="153">
        <f t="shared" si="13"/>
        <v>0</v>
      </c>
      <c r="AQ45" s="153">
        <f t="shared" si="14"/>
        <v>0</v>
      </c>
      <c r="AR45" s="156">
        <f t="shared" si="15"/>
        <v>0</v>
      </c>
      <c r="AS45" s="157">
        <f t="shared" si="16"/>
        <v>0</v>
      </c>
      <c r="AT45" s="156">
        <f t="shared" si="17"/>
        <v>0</v>
      </c>
      <c r="AU45" s="156">
        <f t="shared" si="18"/>
        <v>0</v>
      </c>
      <c r="AV45" s="156">
        <f t="shared" si="19"/>
        <v>0</v>
      </c>
      <c r="AW45" s="156">
        <f t="shared" si="20"/>
        <v>0</v>
      </c>
      <c r="AX45" s="156">
        <f t="shared" si="21"/>
        <v>0</v>
      </c>
      <c r="AY45" s="156">
        <f t="shared" si="22"/>
        <v>0</v>
      </c>
      <c r="AZ45" s="156">
        <f>IF(AND(SUM($AQ$16:AQ44)&gt;0,SUM($AZ$16:AZ44)&lt;$P$62,$W45&gt;=$P$65),$P$64,0)</f>
        <v>0</v>
      </c>
      <c r="BA45" s="156">
        <f>IF(SUM($AQ$17:$AQ44)&gt;0,($P$62-SUM($AZ$17:$AZ44))*$F$65,0)</f>
        <v>0</v>
      </c>
      <c r="BB45" s="157">
        <f t="shared" si="23"/>
        <v>0</v>
      </c>
      <c r="BC45" s="153">
        <f t="shared" si="24"/>
        <v>0</v>
      </c>
      <c r="BD45" s="154">
        <f t="shared" si="25"/>
        <v>0</v>
      </c>
      <c r="BE45" s="163"/>
      <c r="BF45" s="46">
        <f t="shared" si="43"/>
        <v>0.37395181457587451</v>
      </c>
      <c r="BH45" s="152">
        <f t="shared" si="26"/>
        <v>0</v>
      </c>
      <c r="BI45" s="152">
        <f t="shared" si="27"/>
        <v>0</v>
      </c>
      <c r="BJ45" s="153">
        <f t="shared" si="28"/>
        <v>0</v>
      </c>
      <c r="BK45" s="153">
        <f t="shared" si="29"/>
        <v>0</v>
      </c>
      <c r="BL45" s="153">
        <f t="shared" si="30"/>
        <v>0</v>
      </c>
      <c r="BM45" s="153">
        <f t="shared" si="31"/>
        <v>0</v>
      </c>
      <c r="BN45" s="154">
        <f t="shared" si="32"/>
        <v>0</v>
      </c>
      <c r="BO45" s="153">
        <f t="shared" si="33"/>
        <v>0</v>
      </c>
      <c r="BP45" s="153">
        <f t="shared" si="34"/>
        <v>0</v>
      </c>
      <c r="BQ45" s="153">
        <f t="shared" si="35"/>
        <v>0</v>
      </c>
      <c r="BR45" s="153">
        <f t="shared" si="36"/>
        <v>0</v>
      </c>
      <c r="BS45" s="220">
        <f t="shared" si="37"/>
        <v>0</v>
      </c>
      <c r="BT45" s="153">
        <f t="shared" si="38"/>
        <v>0</v>
      </c>
      <c r="BU45" s="154">
        <f t="shared" si="39"/>
        <v>0</v>
      </c>
      <c r="BV45" s="154">
        <f t="shared" si="40"/>
        <v>0</v>
      </c>
      <c r="BW45" s="150"/>
      <c r="BX45" s="155">
        <f t="shared" si="41"/>
        <v>0</v>
      </c>
      <c r="BY45" s="273">
        <f t="shared" si="44"/>
        <v>0</v>
      </c>
      <c r="CA45"/>
    </row>
    <row r="46" spans="2:79" ht="15.75" customHeight="1">
      <c r="B46" t="s">
        <v>133</v>
      </c>
      <c r="J46" s="4" t="s">
        <v>134</v>
      </c>
      <c r="V46" s="57">
        <f t="shared" si="42"/>
        <v>56339</v>
      </c>
      <c r="W46" s="26">
        <v>30</v>
      </c>
      <c r="X46" s="269" t="str">
        <f t="shared" si="0"/>
        <v>-</v>
      </c>
      <c r="Y46" s="158">
        <f t="shared" si="1"/>
        <v>0</v>
      </c>
      <c r="Z46" s="156">
        <f t="shared" si="2"/>
        <v>0</v>
      </c>
      <c r="AA46" s="156">
        <f t="shared" si="3"/>
        <v>0</v>
      </c>
      <c r="AB46" s="156">
        <f t="shared" si="4"/>
        <v>0</v>
      </c>
      <c r="AC46" s="157">
        <f t="shared" si="5"/>
        <v>0</v>
      </c>
      <c r="AD46" s="158">
        <f t="shared" si="6"/>
        <v>0</v>
      </c>
      <c r="AE46" s="156">
        <f t="shared" si="7"/>
        <v>0</v>
      </c>
      <c r="AF46" s="156">
        <f t="shared" si="8"/>
        <v>0</v>
      </c>
      <c r="AG46" s="156">
        <f>IF(AND(SUM($AA$16:AA45)&gt;0,SUM($AG$16:AG45)&lt;$O$62,$W46&gt;=$O$65),$O$64,0)</f>
        <v>0</v>
      </c>
      <c r="AH46" s="153">
        <f>IF(SUM($AA$17:$AA45)&gt;0,($O$62-SUM($AG$17:$AG45))*$F$65,0)</f>
        <v>0</v>
      </c>
      <c r="AI46" s="157">
        <f t="shared" si="9"/>
        <v>0</v>
      </c>
      <c r="AJ46" s="153">
        <f t="shared" si="10"/>
        <v>0</v>
      </c>
      <c r="AK46" s="155">
        <f>(SUM($P$31,$P$51)-SUM($AU$17:AU45))*$O$109</f>
        <v>0</v>
      </c>
      <c r="AL46" s="160"/>
      <c r="AM46" s="154">
        <f t="shared" si="11"/>
        <v>0</v>
      </c>
      <c r="AN46" s="161"/>
      <c r="AO46" s="152">
        <f t="shared" si="12"/>
        <v>0</v>
      </c>
      <c r="AP46" s="153">
        <f t="shared" si="13"/>
        <v>0</v>
      </c>
      <c r="AQ46" s="153">
        <f t="shared" si="14"/>
        <v>0</v>
      </c>
      <c r="AR46" s="156">
        <f t="shared" si="15"/>
        <v>0</v>
      </c>
      <c r="AS46" s="157">
        <f t="shared" si="16"/>
        <v>0</v>
      </c>
      <c r="AT46" s="156">
        <f t="shared" si="17"/>
        <v>0</v>
      </c>
      <c r="AU46" s="156">
        <f t="shared" si="18"/>
        <v>0</v>
      </c>
      <c r="AV46" s="156">
        <f t="shared" si="19"/>
        <v>0</v>
      </c>
      <c r="AW46" s="156">
        <f t="shared" si="20"/>
        <v>0</v>
      </c>
      <c r="AX46" s="156">
        <f t="shared" si="21"/>
        <v>0</v>
      </c>
      <c r="AY46" s="156">
        <f t="shared" si="22"/>
        <v>0</v>
      </c>
      <c r="AZ46" s="156">
        <f>IF(AND(SUM($AQ$16:AQ45)&gt;0,SUM($AZ$16:AZ45)&lt;$P$62,$W46&gt;=$P$65),$P$64,0)</f>
        <v>0</v>
      </c>
      <c r="BA46" s="156">
        <f>IF(SUM($AQ$17:$AQ45)&gt;0,($P$62-SUM($AZ$17:$AZ45))*$F$65,0)</f>
        <v>0</v>
      </c>
      <c r="BB46" s="157">
        <f t="shared" si="23"/>
        <v>0</v>
      </c>
      <c r="BC46" s="153">
        <f t="shared" si="24"/>
        <v>0</v>
      </c>
      <c r="BD46" s="154">
        <f t="shared" si="25"/>
        <v>0</v>
      </c>
      <c r="BE46" s="163"/>
      <c r="BF46" s="47">
        <f t="shared" si="43"/>
        <v>0.36148072941118853</v>
      </c>
      <c r="BH46" s="152">
        <f t="shared" si="26"/>
        <v>0</v>
      </c>
      <c r="BI46" s="152">
        <f t="shared" si="27"/>
        <v>0</v>
      </c>
      <c r="BJ46" s="153">
        <f t="shared" si="28"/>
        <v>0</v>
      </c>
      <c r="BK46" s="153">
        <f t="shared" si="29"/>
        <v>0</v>
      </c>
      <c r="BL46" s="153">
        <f t="shared" si="30"/>
        <v>0</v>
      </c>
      <c r="BM46" s="156">
        <f t="shared" si="31"/>
        <v>0</v>
      </c>
      <c r="BN46" s="157">
        <f t="shared" si="32"/>
        <v>0</v>
      </c>
      <c r="BO46" s="153">
        <f t="shared" si="33"/>
        <v>0</v>
      </c>
      <c r="BP46" s="153">
        <f t="shared" si="34"/>
        <v>0</v>
      </c>
      <c r="BQ46" s="153">
        <f t="shared" si="35"/>
        <v>0</v>
      </c>
      <c r="BR46" s="153">
        <f t="shared" si="36"/>
        <v>0</v>
      </c>
      <c r="BS46" s="220">
        <f t="shared" si="37"/>
        <v>0</v>
      </c>
      <c r="BT46" s="153">
        <f t="shared" si="38"/>
        <v>0</v>
      </c>
      <c r="BU46" s="157">
        <f t="shared" si="39"/>
        <v>0</v>
      </c>
      <c r="BV46" s="157">
        <f t="shared" si="40"/>
        <v>0</v>
      </c>
      <c r="BW46" s="150"/>
      <c r="BX46" s="155">
        <f t="shared" si="41"/>
        <v>0</v>
      </c>
      <c r="BY46" s="273">
        <f t="shared" si="44"/>
        <v>0</v>
      </c>
      <c r="CA46"/>
    </row>
    <row r="47" spans="2:79" ht="15.75" customHeight="1">
      <c r="F47" s="72">
        <v>1</v>
      </c>
      <c r="G47">
        <v>0</v>
      </c>
      <c r="H47" t="s">
        <v>135</v>
      </c>
      <c r="K47" t="s">
        <v>136</v>
      </c>
      <c r="V47" s="57">
        <f t="shared" si="42"/>
        <v>56704</v>
      </c>
      <c r="W47" s="26">
        <v>31</v>
      </c>
      <c r="X47" s="269" t="str">
        <f t="shared" si="0"/>
        <v>-</v>
      </c>
      <c r="Y47" s="158">
        <f t="shared" si="1"/>
        <v>0</v>
      </c>
      <c r="Z47" s="156">
        <f t="shared" si="2"/>
        <v>0</v>
      </c>
      <c r="AA47" s="156">
        <f t="shared" si="3"/>
        <v>0</v>
      </c>
      <c r="AB47" s="156">
        <f t="shared" si="4"/>
        <v>0</v>
      </c>
      <c r="AC47" s="157">
        <f t="shared" si="5"/>
        <v>0</v>
      </c>
      <c r="AD47" s="158">
        <f t="shared" si="6"/>
        <v>0</v>
      </c>
      <c r="AE47" s="156">
        <f t="shared" si="7"/>
        <v>0</v>
      </c>
      <c r="AF47" s="156">
        <f t="shared" si="8"/>
        <v>0</v>
      </c>
      <c r="AG47" s="156">
        <f>IF(AND(SUM($AA$16:AA46)&gt;0,SUM($AG$16:AG46)&lt;$O$62,$W47&gt;=$O$65),$O$64,0)</f>
        <v>0</v>
      </c>
      <c r="AH47" s="153">
        <f>IF(SUM($AA$17:$AA46)&gt;0,($O$62-SUM($AG$17:$AG46))*$F$65,0)</f>
        <v>0</v>
      </c>
      <c r="AI47" s="157">
        <f t="shared" si="9"/>
        <v>0</v>
      </c>
      <c r="AJ47" s="153">
        <f t="shared" si="10"/>
        <v>0</v>
      </c>
      <c r="AK47" s="155">
        <f>(SUM($P$31,$P$51)-SUM($AU$17:AU46))*$O$109</f>
        <v>0</v>
      </c>
      <c r="AL47" s="160"/>
      <c r="AM47" s="154">
        <f t="shared" si="11"/>
        <v>0</v>
      </c>
      <c r="AN47" s="161"/>
      <c r="AO47" s="152">
        <f t="shared" si="12"/>
        <v>0</v>
      </c>
      <c r="AP47" s="153">
        <f t="shared" si="13"/>
        <v>0</v>
      </c>
      <c r="AQ47" s="153">
        <f t="shared" si="14"/>
        <v>0</v>
      </c>
      <c r="AR47" s="156">
        <f t="shared" si="15"/>
        <v>0</v>
      </c>
      <c r="AS47" s="157">
        <f t="shared" si="16"/>
        <v>0</v>
      </c>
      <c r="AT47" s="156">
        <f t="shared" si="17"/>
        <v>0</v>
      </c>
      <c r="AU47" s="156">
        <f t="shared" si="18"/>
        <v>0</v>
      </c>
      <c r="AV47" s="156">
        <f t="shared" si="19"/>
        <v>0</v>
      </c>
      <c r="AW47" s="156">
        <f t="shared" si="20"/>
        <v>0</v>
      </c>
      <c r="AX47" s="156">
        <f t="shared" si="21"/>
        <v>0</v>
      </c>
      <c r="AY47" s="156">
        <f t="shared" si="22"/>
        <v>0</v>
      </c>
      <c r="AZ47" s="156">
        <f>IF(AND(SUM($AQ$16:AQ46)&gt;0,SUM($AZ$16:AZ46)&lt;$P$62,$W47&gt;=$P$65),$P$64,0)</f>
        <v>0</v>
      </c>
      <c r="BA47" s="156">
        <f>IF(SUM($AQ$17:$AQ46)&gt;0,($P$62-SUM($AZ$17:$AZ46))*$F$65,0)</f>
        <v>0</v>
      </c>
      <c r="BB47" s="157">
        <f t="shared" si="23"/>
        <v>0</v>
      </c>
      <c r="BC47" s="153">
        <f t="shared" si="24"/>
        <v>0</v>
      </c>
      <c r="BD47" s="154">
        <f t="shared" si="25"/>
        <v>0</v>
      </c>
      <c r="BE47" s="163"/>
      <c r="BF47" s="47">
        <f t="shared" si="43"/>
        <v>0.34942554800501552</v>
      </c>
      <c r="BH47" s="152">
        <f t="shared" si="26"/>
        <v>0</v>
      </c>
      <c r="BI47" s="152">
        <f t="shared" si="27"/>
        <v>0</v>
      </c>
      <c r="BJ47" s="153">
        <f t="shared" si="28"/>
        <v>0</v>
      </c>
      <c r="BK47" s="153">
        <f t="shared" si="29"/>
        <v>0</v>
      </c>
      <c r="BL47" s="153">
        <f t="shared" si="30"/>
        <v>0</v>
      </c>
      <c r="BM47" s="156">
        <f t="shared" si="31"/>
        <v>0</v>
      </c>
      <c r="BN47" s="157">
        <f t="shared" si="32"/>
        <v>0</v>
      </c>
      <c r="BO47" s="153">
        <f t="shared" si="33"/>
        <v>0</v>
      </c>
      <c r="BP47" s="153">
        <f t="shared" si="34"/>
        <v>0</v>
      </c>
      <c r="BQ47" s="153">
        <f t="shared" si="35"/>
        <v>0</v>
      </c>
      <c r="BR47" s="153">
        <f t="shared" si="36"/>
        <v>0</v>
      </c>
      <c r="BS47" s="220">
        <f t="shared" si="37"/>
        <v>0</v>
      </c>
      <c r="BT47" s="153">
        <f t="shared" si="38"/>
        <v>0</v>
      </c>
      <c r="BU47" s="157">
        <f t="shared" si="39"/>
        <v>0</v>
      </c>
      <c r="BV47" s="157">
        <f t="shared" si="40"/>
        <v>0</v>
      </c>
      <c r="BW47" s="150"/>
      <c r="BX47" s="155">
        <f t="shared" si="41"/>
        <v>0</v>
      </c>
      <c r="BY47" s="273">
        <f t="shared" si="44"/>
        <v>0</v>
      </c>
      <c r="CA47"/>
    </row>
    <row r="48" spans="2:79" ht="15.75" customHeight="1">
      <c r="G48">
        <v>1</v>
      </c>
      <c r="H48" t="s">
        <v>137</v>
      </c>
      <c r="I48" s="19"/>
      <c r="M48" t="s">
        <v>138</v>
      </c>
      <c r="N48" s="19" t="s">
        <v>7</v>
      </c>
      <c r="O48" s="52"/>
      <c r="P48" s="50">
        <f>F104</f>
        <v>0</v>
      </c>
      <c r="V48" s="57">
        <f t="shared" si="42"/>
        <v>57070</v>
      </c>
      <c r="W48" s="26">
        <v>32</v>
      </c>
      <c r="X48" s="269" t="str">
        <f t="shared" si="0"/>
        <v>-</v>
      </c>
      <c r="Y48" s="158">
        <f t="shared" si="1"/>
        <v>0</v>
      </c>
      <c r="Z48" s="156">
        <f t="shared" si="2"/>
        <v>0</v>
      </c>
      <c r="AA48" s="156">
        <f t="shared" si="3"/>
        <v>0</v>
      </c>
      <c r="AB48" s="156">
        <f t="shared" si="4"/>
        <v>0</v>
      </c>
      <c r="AC48" s="157">
        <f t="shared" si="5"/>
        <v>0</v>
      </c>
      <c r="AD48" s="158">
        <f t="shared" si="6"/>
        <v>0</v>
      </c>
      <c r="AE48" s="156">
        <f t="shared" si="7"/>
        <v>0</v>
      </c>
      <c r="AF48" s="156">
        <f t="shared" si="8"/>
        <v>0</v>
      </c>
      <c r="AG48" s="156">
        <f>IF(AND(SUM($AA$16:AA47)&gt;0,SUM($AG$16:AG47)&lt;$O$62,$W48&gt;=$O$65),$O$64,0)</f>
        <v>0</v>
      </c>
      <c r="AH48" s="153">
        <f>IF(SUM($AA$17:$AA47)&gt;0,($O$62-SUM($AG$17:$AG47))*$F$65,0)</f>
        <v>0</v>
      </c>
      <c r="AI48" s="157">
        <f t="shared" si="9"/>
        <v>0</v>
      </c>
      <c r="AJ48" s="153">
        <f t="shared" si="10"/>
        <v>0</v>
      </c>
      <c r="AK48" s="155">
        <f>(SUM($P$31,$P$51)-SUM($AU$17:AU47))*$O$109</f>
        <v>0</v>
      </c>
      <c r="AL48" s="160"/>
      <c r="AM48" s="154">
        <f t="shared" si="11"/>
        <v>0</v>
      </c>
      <c r="AN48" s="161"/>
      <c r="AO48" s="152">
        <f t="shared" si="12"/>
        <v>0</v>
      </c>
      <c r="AP48" s="153">
        <f t="shared" si="13"/>
        <v>0</v>
      </c>
      <c r="AQ48" s="153">
        <f t="shared" si="14"/>
        <v>0</v>
      </c>
      <c r="AR48" s="156">
        <f t="shared" si="15"/>
        <v>0</v>
      </c>
      <c r="AS48" s="157">
        <f t="shared" si="16"/>
        <v>0</v>
      </c>
      <c r="AT48" s="156">
        <f t="shared" si="17"/>
        <v>0</v>
      </c>
      <c r="AU48" s="156">
        <f t="shared" si="18"/>
        <v>0</v>
      </c>
      <c r="AV48" s="156">
        <f t="shared" si="19"/>
        <v>0</v>
      </c>
      <c r="AW48" s="156">
        <f t="shared" si="20"/>
        <v>0</v>
      </c>
      <c r="AX48" s="156">
        <f t="shared" si="21"/>
        <v>0</v>
      </c>
      <c r="AY48" s="156">
        <f t="shared" si="22"/>
        <v>0</v>
      </c>
      <c r="AZ48" s="156">
        <f>IF(AND(SUM($AQ$16:AQ47)&gt;0,SUM($AZ$16:AZ47)&lt;$P$62,$W48&gt;=$P$65),$P$64,0)</f>
        <v>0</v>
      </c>
      <c r="BA48" s="156">
        <f>IF(SUM($AQ$17:$AQ47)&gt;0,($P$62-SUM($AZ$17:$AZ47))*$F$65,0)</f>
        <v>0</v>
      </c>
      <c r="BB48" s="157">
        <f t="shared" si="23"/>
        <v>0</v>
      </c>
      <c r="BC48" s="153">
        <f t="shared" si="24"/>
        <v>0</v>
      </c>
      <c r="BD48" s="154">
        <f t="shared" si="25"/>
        <v>0</v>
      </c>
      <c r="BE48" s="163"/>
      <c r="BF48" s="47">
        <f t="shared" si="43"/>
        <v>0.33777240019817839</v>
      </c>
      <c r="BH48" s="152">
        <f t="shared" si="26"/>
        <v>0</v>
      </c>
      <c r="BI48" s="152">
        <f t="shared" si="27"/>
        <v>0</v>
      </c>
      <c r="BJ48" s="153">
        <f t="shared" si="28"/>
        <v>0</v>
      </c>
      <c r="BK48" s="153">
        <f t="shared" si="29"/>
        <v>0</v>
      </c>
      <c r="BL48" s="153">
        <f t="shared" si="30"/>
        <v>0</v>
      </c>
      <c r="BM48" s="156">
        <f t="shared" si="31"/>
        <v>0</v>
      </c>
      <c r="BN48" s="157">
        <f t="shared" si="32"/>
        <v>0</v>
      </c>
      <c r="BO48" s="153">
        <f t="shared" si="33"/>
        <v>0</v>
      </c>
      <c r="BP48" s="153">
        <f t="shared" si="34"/>
        <v>0</v>
      </c>
      <c r="BQ48" s="153">
        <f t="shared" si="35"/>
        <v>0</v>
      </c>
      <c r="BR48" s="153">
        <f t="shared" si="36"/>
        <v>0</v>
      </c>
      <c r="BS48" s="220">
        <f t="shared" si="37"/>
        <v>0</v>
      </c>
      <c r="BT48" s="153">
        <f t="shared" si="38"/>
        <v>0</v>
      </c>
      <c r="BU48" s="157">
        <f t="shared" si="39"/>
        <v>0</v>
      </c>
      <c r="BV48" s="157">
        <f t="shared" si="40"/>
        <v>0</v>
      </c>
      <c r="BW48" s="150"/>
      <c r="BX48" s="155">
        <f t="shared" si="41"/>
        <v>0</v>
      </c>
      <c r="BY48" s="273">
        <f t="shared" si="44"/>
        <v>0</v>
      </c>
    </row>
    <row r="49" spans="1:77" ht="15.75" customHeight="1">
      <c r="B49" s="92" t="s">
        <v>139</v>
      </c>
      <c r="M49" t="s">
        <v>140</v>
      </c>
      <c r="N49" s="19" t="s">
        <v>7</v>
      </c>
      <c r="O49" s="120"/>
      <c r="P49" s="121">
        <f>F105*$F$16</f>
        <v>0</v>
      </c>
      <c r="V49" s="57">
        <f t="shared" si="42"/>
        <v>57435</v>
      </c>
      <c r="W49" s="26">
        <v>33</v>
      </c>
      <c r="X49" s="269" t="str">
        <f t="shared" si="0"/>
        <v>-</v>
      </c>
      <c r="Y49" s="158">
        <f t="shared" si="1"/>
        <v>0</v>
      </c>
      <c r="Z49" s="156">
        <f t="shared" si="2"/>
        <v>0</v>
      </c>
      <c r="AA49" s="156">
        <f t="shared" si="3"/>
        <v>0</v>
      </c>
      <c r="AB49" s="156">
        <f t="shared" si="4"/>
        <v>0</v>
      </c>
      <c r="AC49" s="157">
        <f t="shared" si="5"/>
        <v>0</v>
      </c>
      <c r="AD49" s="158">
        <f t="shared" si="6"/>
        <v>0</v>
      </c>
      <c r="AE49" s="156">
        <f t="shared" si="7"/>
        <v>0</v>
      </c>
      <c r="AF49" s="156">
        <f t="shared" si="8"/>
        <v>0</v>
      </c>
      <c r="AG49" s="156">
        <f>IF(AND(SUM($AA$16:AA48)&gt;0,SUM($AG$16:AG48)&lt;$O$62,$W49&gt;=$O$65),$O$64,0)</f>
        <v>0</v>
      </c>
      <c r="AH49" s="153">
        <f>IF(SUM($AA$17:$AA48)&gt;0,($O$62-SUM($AG$17:$AG48))*$F$65,0)</f>
        <v>0</v>
      </c>
      <c r="AI49" s="157">
        <f t="shared" si="9"/>
        <v>0</v>
      </c>
      <c r="AJ49" s="153">
        <f t="shared" si="10"/>
        <v>0</v>
      </c>
      <c r="AK49" s="155">
        <f>(SUM($P$31,$P$51)-SUM($AU$17:AU48))*$O$109</f>
        <v>0</v>
      </c>
      <c r="AL49" s="160"/>
      <c r="AM49" s="154">
        <f t="shared" si="11"/>
        <v>0</v>
      </c>
      <c r="AN49" s="161"/>
      <c r="AO49" s="152">
        <f t="shared" si="12"/>
        <v>0</v>
      </c>
      <c r="AP49" s="153">
        <f t="shared" si="13"/>
        <v>0</v>
      </c>
      <c r="AQ49" s="153">
        <f t="shared" si="14"/>
        <v>0</v>
      </c>
      <c r="AR49" s="156">
        <f t="shared" si="15"/>
        <v>0</v>
      </c>
      <c r="AS49" s="157">
        <f t="shared" si="16"/>
        <v>0</v>
      </c>
      <c r="AT49" s="156">
        <f t="shared" si="17"/>
        <v>0</v>
      </c>
      <c r="AU49" s="156">
        <f t="shared" si="18"/>
        <v>0</v>
      </c>
      <c r="AV49" s="156">
        <f t="shared" si="19"/>
        <v>0</v>
      </c>
      <c r="AW49" s="156">
        <f t="shared" si="20"/>
        <v>0</v>
      </c>
      <c r="AX49" s="156">
        <f t="shared" si="21"/>
        <v>0</v>
      </c>
      <c r="AY49" s="156">
        <f t="shared" si="22"/>
        <v>0</v>
      </c>
      <c r="AZ49" s="156">
        <f>IF(AND(SUM($AQ$16:AQ48)&gt;0,SUM($AZ$16:AZ48)&lt;$P$62,$W49&gt;=$P$65),$P$64,0)</f>
        <v>0</v>
      </c>
      <c r="BA49" s="156">
        <f>IF(SUM($AQ$17:$AQ48)&gt;0,($P$62-SUM($AZ$17:$AZ48))*$F$65,0)</f>
        <v>0</v>
      </c>
      <c r="BB49" s="157">
        <f t="shared" si="23"/>
        <v>0</v>
      </c>
      <c r="BC49" s="153">
        <f t="shared" si="24"/>
        <v>0</v>
      </c>
      <c r="BD49" s="154">
        <f t="shared" si="25"/>
        <v>0</v>
      </c>
      <c r="BE49" s="163"/>
      <c r="BF49" s="47">
        <f t="shared" si="43"/>
        <v>0.32650787839359924</v>
      </c>
      <c r="BH49" s="152">
        <f t="shared" si="26"/>
        <v>0</v>
      </c>
      <c r="BI49" s="152">
        <f t="shared" si="27"/>
        <v>0</v>
      </c>
      <c r="BJ49" s="153">
        <f t="shared" si="28"/>
        <v>0</v>
      </c>
      <c r="BK49" s="153">
        <f t="shared" si="29"/>
        <v>0</v>
      </c>
      <c r="BL49" s="153">
        <f t="shared" si="30"/>
        <v>0</v>
      </c>
      <c r="BM49" s="156">
        <f t="shared" si="31"/>
        <v>0</v>
      </c>
      <c r="BN49" s="157">
        <f t="shared" si="32"/>
        <v>0</v>
      </c>
      <c r="BO49" s="153">
        <f t="shared" si="33"/>
        <v>0</v>
      </c>
      <c r="BP49" s="153">
        <f t="shared" si="34"/>
        <v>0</v>
      </c>
      <c r="BQ49" s="153">
        <f t="shared" si="35"/>
        <v>0</v>
      </c>
      <c r="BR49" s="153">
        <f t="shared" si="36"/>
        <v>0</v>
      </c>
      <c r="BS49" s="220">
        <f t="shared" si="37"/>
        <v>0</v>
      </c>
      <c r="BT49" s="153">
        <f t="shared" si="38"/>
        <v>0</v>
      </c>
      <c r="BU49" s="157">
        <f t="shared" si="39"/>
        <v>0</v>
      </c>
      <c r="BV49" s="157">
        <f t="shared" si="40"/>
        <v>0</v>
      </c>
      <c r="BW49" s="150"/>
      <c r="BX49" s="155">
        <f t="shared" si="41"/>
        <v>0</v>
      </c>
      <c r="BY49" s="273">
        <f t="shared" si="44"/>
        <v>0</v>
      </c>
    </row>
    <row r="50" spans="1:77" ht="15.75" customHeight="1" thickBot="1">
      <c r="C50" s="55" t="s">
        <v>141</v>
      </c>
      <c r="D50" t="s">
        <v>38</v>
      </c>
      <c r="F50" s="258">
        <v>0.95</v>
      </c>
      <c r="H50" s="55" t="s">
        <v>142</v>
      </c>
      <c r="M50" t="s">
        <v>143</v>
      </c>
      <c r="N50" s="19" t="s">
        <v>7</v>
      </c>
      <c r="O50" s="120"/>
      <c r="P50" s="121">
        <f>SUM(P82,P86)+P92</f>
        <v>0</v>
      </c>
      <c r="Q50" t="s">
        <v>144</v>
      </c>
      <c r="V50" s="57">
        <f t="shared" si="42"/>
        <v>57800</v>
      </c>
      <c r="W50" s="26">
        <v>34</v>
      </c>
      <c r="X50" s="269" t="str">
        <f t="shared" si="0"/>
        <v>-</v>
      </c>
      <c r="Y50" s="158">
        <f t="shared" si="1"/>
        <v>0</v>
      </c>
      <c r="Z50" s="156">
        <f t="shared" si="2"/>
        <v>0</v>
      </c>
      <c r="AA50" s="156">
        <f t="shared" si="3"/>
        <v>0</v>
      </c>
      <c r="AB50" s="156">
        <f t="shared" si="4"/>
        <v>0</v>
      </c>
      <c r="AC50" s="157">
        <f t="shared" si="5"/>
        <v>0</v>
      </c>
      <c r="AD50" s="158">
        <f t="shared" si="6"/>
        <v>0</v>
      </c>
      <c r="AE50" s="156">
        <f t="shared" si="7"/>
        <v>0</v>
      </c>
      <c r="AF50" s="156">
        <f t="shared" si="8"/>
        <v>0</v>
      </c>
      <c r="AG50" s="156">
        <f>IF(AND(SUM($AA$16:AA49)&gt;0,SUM($AG$16:AG49)&lt;$O$62,$W50&gt;=$O$65),$O$64,0)</f>
        <v>0</v>
      </c>
      <c r="AH50" s="153">
        <f>IF(SUM($AA$17:$AA49)&gt;0,($O$62-SUM($AG$17:$AG49))*$F$65,0)</f>
        <v>0</v>
      </c>
      <c r="AI50" s="157">
        <f t="shared" si="9"/>
        <v>0</v>
      </c>
      <c r="AJ50" s="153">
        <f t="shared" si="10"/>
        <v>0</v>
      </c>
      <c r="AK50" s="155">
        <f>(SUM($P$31,$P$51)-SUM($AU$17:AU49))*$O$109</f>
        <v>0</v>
      </c>
      <c r="AL50" s="160"/>
      <c r="AM50" s="154">
        <f t="shared" si="11"/>
        <v>0</v>
      </c>
      <c r="AN50" s="161"/>
      <c r="AO50" s="152">
        <f t="shared" si="12"/>
        <v>0</v>
      </c>
      <c r="AP50" s="153">
        <f t="shared" si="13"/>
        <v>0</v>
      </c>
      <c r="AQ50" s="153">
        <f t="shared" si="14"/>
        <v>0</v>
      </c>
      <c r="AR50" s="156">
        <f t="shared" si="15"/>
        <v>0</v>
      </c>
      <c r="AS50" s="157">
        <f t="shared" si="16"/>
        <v>0</v>
      </c>
      <c r="AT50" s="156">
        <f t="shared" si="17"/>
        <v>0</v>
      </c>
      <c r="AU50" s="156">
        <f t="shared" si="18"/>
        <v>0</v>
      </c>
      <c r="AV50" s="156">
        <f t="shared" si="19"/>
        <v>0</v>
      </c>
      <c r="AW50" s="156">
        <f t="shared" si="20"/>
        <v>0</v>
      </c>
      <c r="AX50" s="156">
        <f t="shared" si="21"/>
        <v>0</v>
      </c>
      <c r="AY50" s="156">
        <f t="shared" si="22"/>
        <v>0</v>
      </c>
      <c r="AZ50" s="156">
        <f>IF(AND(SUM($AQ$16:AQ49)&gt;0,SUM($AZ$16:AZ49)&lt;$P$62,$W50&gt;=$P$65),$P$64,0)</f>
        <v>0</v>
      </c>
      <c r="BA50" s="156">
        <f>IF(SUM($AQ$17:$AQ49)&gt;0,($P$62-SUM($AZ$17:$AZ49))*$F$65,0)</f>
        <v>0</v>
      </c>
      <c r="BB50" s="157">
        <f t="shared" si="23"/>
        <v>0</v>
      </c>
      <c r="BC50" s="153">
        <f t="shared" si="24"/>
        <v>0</v>
      </c>
      <c r="BD50" s="154">
        <f t="shared" si="25"/>
        <v>0</v>
      </c>
      <c r="BE50" s="163"/>
      <c r="BF50" s="47">
        <f t="shared" si="43"/>
        <v>0.31561902213011045</v>
      </c>
      <c r="BH50" s="152">
        <f t="shared" si="26"/>
        <v>0</v>
      </c>
      <c r="BI50" s="152">
        <f t="shared" si="27"/>
        <v>0</v>
      </c>
      <c r="BJ50" s="153">
        <f t="shared" si="28"/>
        <v>0</v>
      </c>
      <c r="BK50" s="153">
        <f t="shared" si="29"/>
        <v>0</v>
      </c>
      <c r="BL50" s="153">
        <f t="shared" si="30"/>
        <v>0</v>
      </c>
      <c r="BM50" s="156">
        <f t="shared" si="31"/>
        <v>0</v>
      </c>
      <c r="BN50" s="157">
        <f t="shared" si="32"/>
        <v>0</v>
      </c>
      <c r="BO50" s="153">
        <f t="shared" si="33"/>
        <v>0</v>
      </c>
      <c r="BP50" s="153">
        <f t="shared" si="34"/>
        <v>0</v>
      </c>
      <c r="BQ50" s="153">
        <f t="shared" si="35"/>
        <v>0</v>
      </c>
      <c r="BR50" s="153">
        <f t="shared" si="36"/>
        <v>0</v>
      </c>
      <c r="BS50" s="220">
        <f t="shared" si="37"/>
        <v>0</v>
      </c>
      <c r="BT50" s="153">
        <f t="shared" si="38"/>
        <v>0</v>
      </c>
      <c r="BU50" s="157">
        <f t="shared" si="39"/>
        <v>0</v>
      </c>
      <c r="BV50" s="157">
        <f t="shared" si="40"/>
        <v>0</v>
      </c>
      <c r="BW50" s="150"/>
      <c r="BX50" s="155">
        <f t="shared" si="41"/>
        <v>0</v>
      </c>
      <c r="BY50" s="273">
        <f t="shared" si="44"/>
        <v>0</v>
      </c>
    </row>
    <row r="51" spans="1:77" ht="15.75" customHeight="1" thickBot="1">
      <c r="B51" s="55"/>
      <c r="C51" s="55" t="s">
        <v>145</v>
      </c>
      <c r="D51" t="s">
        <v>38</v>
      </c>
      <c r="F51" s="194">
        <f>事業費用概算!H32</f>
        <v>0.05</v>
      </c>
      <c r="H51" s="147" t="s">
        <v>146</v>
      </c>
      <c r="K51" s="122" t="s">
        <v>147</v>
      </c>
      <c r="L51" s="123"/>
      <c r="M51" s="123"/>
      <c r="N51" s="124" t="s">
        <v>7</v>
      </c>
      <c r="O51" s="125"/>
      <c r="P51" s="126">
        <f>SUM(P48:P49)*$F$47</f>
        <v>0</v>
      </c>
      <c r="Q51" t="s">
        <v>148</v>
      </c>
      <c r="V51" s="57">
        <f t="shared" si="42"/>
        <v>58165</v>
      </c>
      <c r="W51" s="26">
        <v>35</v>
      </c>
      <c r="X51" s="269" t="str">
        <f t="shared" si="0"/>
        <v>-</v>
      </c>
      <c r="Y51" s="158">
        <f t="shared" si="1"/>
        <v>0</v>
      </c>
      <c r="Z51" s="156">
        <f t="shared" si="2"/>
        <v>0</v>
      </c>
      <c r="AA51" s="156">
        <f t="shared" si="3"/>
        <v>0</v>
      </c>
      <c r="AB51" s="156">
        <f t="shared" si="4"/>
        <v>0</v>
      </c>
      <c r="AC51" s="157">
        <f t="shared" si="5"/>
        <v>0</v>
      </c>
      <c r="AD51" s="158">
        <f t="shared" si="6"/>
        <v>0</v>
      </c>
      <c r="AE51" s="156">
        <f t="shared" si="7"/>
        <v>0</v>
      </c>
      <c r="AF51" s="156">
        <f t="shared" si="8"/>
        <v>0</v>
      </c>
      <c r="AG51" s="156">
        <f>IF(AND(SUM($AA$16:AA50)&gt;0,SUM($AG$16:AG50)&lt;$O$62,$W51&gt;=$O$65),$O$64,0)</f>
        <v>0</v>
      </c>
      <c r="AH51" s="153">
        <f>IF(SUM($AA$17:$AA50)&gt;0,($O$62-SUM($AG$17:$AG50))*$F$65,0)</f>
        <v>0</v>
      </c>
      <c r="AI51" s="157">
        <f t="shared" si="9"/>
        <v>0</v>
      </c>
      <c r="AJ51" s="153">
        <f t="shared" si="10"/>
        <v>0</v>
      </c>
      <c r="AK51" s="155">
        <f>(SUM($P$31,$P$51)-SUM($AU$17:AU50))*$O$109</f>
        <v>0</v>
      </c>
      <c r="AL51" s="160"/>
      <c r="AM51" s="154">
        <f t="shared" si="11"/>
        <v>0</v>
      </c>
      <c r="AN51" s="161"/>
      <c r="AO51" s="152">
        <f t="shared" si="12"/>
        <v>0</v>
      </c>
      <c r="AP51" s="153">
        <f t="shared" si="13"/>
        <v>0</v>
      </c>
      <c r="AQ51" s="153">
        <f t="shared" si="14"/>
        <v>0</v>
      </c>
      <c r="AR51" s="156">
        <f t="shared" si="15"/>
        <v>0</v>
      </c>
      <c r="AS51" s="157">
        <f t="shared" si="16"/>
        <v>0</v>
      </c>
      <c r="AT51" s="156">
        <f t="shared" si="17"/>
        <v>0</v>
      </c>
      <c r="AU51" s="156">
        <f t="shared" si="18"/>
        <v>0</v>
      </c>
      <c r="AV51" s="156">
        <f t="shared" si="19"/>
        <v>0</v>
      </c>
      <c r="AW51" s="156">
        <f t="shared" si="20"/>
        <v>0</v>
      </c>
      <c r="AX51" s="156">
        <f t="shared" si="21"/>
        <v>0</v>
      </c>
      <c r="AY51" s="156">
        <f t="shared" si="22"/>
        <v>0</v>
      </c>
      <c r="AZ51" s="156">
        <f>IF(AND(SUM($AQ$16:AQ50)&gt;0,SUM($AZ$16:AZ50)&lt;$P$62,$W51&gt;=$P$65),$P$64,0)</f>
        <v>0</v>
      </c>
      <c r="BA51" s="156">
        <f>IF(SUM($AQ$17:$AQ50)&gt;0,($P$62-SUM($AZ$17:$AZ50))*$F$65,0)</f>
        <v>0</v>
      </c>
      <c r="BB51" s="157">
        <f t="shared" si="23"/>
        <v>0</v>
      </c>
      <c r="BC51" s="153">
        <f t="shared" si="24"/>
        <v>0</v>
      </c>
      <c r="BD51" s="154">
        <f t="shared" si="25"/>
        <v>0</v>
      </c>
      <c r="BE51" s="163"/>
      <c r="BF51" s="47">
        <f t="shared" si="43"/>
        <v>0.30509330317072059</v>
      </c>
      <c r="BH51" s="152">
        <f t="shared" si="26"/>
        <v>0</v>
      </c>
      <c r="BI51" s="152">
        <f t="shared" si="27"/>
        <v>0</v>
      </c>
      <c r="BJ51" s="153">
        <f t="shared" si="28"/>
        <v>0</v>
      </c>
      <c r="BK51" s="153">
        <f t="shared" si="29"/>
        <v>0</v>
      </c>
      <c r="BL51" s="153">
        <f t="shared" si="30"/>
        <v>0</v>
      </c>
      <c r="BM51" s="156">
        <f t="shared" si="31"/>
        <v>0</v>
      </c>
      <c r="BN51" s="157">
        <f t="shared" si="32"/>
        <v>0</v>
      </c>
      <c r="BO51" s="153">
        <f t="shared" si="33"/>
        <v>0</v>
      </c>
      <c r="BP51" s="153">
        <f t="shared" si="34"/>
        <v>0</v>
      </c>
      <c r="BQ51" s="153">
        <f t="shared" si="35"/>
        <v>0</v>
      </c>
      <c r="BR51" s="153">
        <f t="shared" si="36"/>
        <v>0</v>
      </c>
      <c r="BS51" s="220">
        <f t="shared" si="37"/>
        <v>0</v>
      </c>
      <c r="BT51" s="153">
        <f t="shared" si="38"/>
        <v>0</v>
      </c>
      <c r="BU51" s="157">
        <f t="shared" si="39"/>
        <v>0</v>
      </c>
      <c r="BV51" s="157">
        <f t="shared" si="40"/>
        <v>0</v>
      </c>
      <c r="BW51" s="150"/>
      <c r="BX51" s="155">
        <f t="shared" si="41"/>
        <v>0</v>
      </c>
      <c r="BY51" s="273">
        <f t="shared" si="44"/>
        <v>0</v>
      </c>
    </row>
    <row r="52" spans="1:77" ht="15.75" customHeight="1">
      <c r="B52" s="55"/>
      <c r="C52" s="55" t="s">
        <v>149</v>
      </c>
      <c r="D52" t="s">
        <v>38</v>
      </c>
      <c r="F52" s="136"/>
      <c r="H52" s="147" t="s">
        <v>122</v>
      </c>
      <c r="M52" t="s">
        <v>150</v>
      </c>
      <c r="N52" s="19" t="s">
        <v>7</v>
      </c>
      <c r="O52" s="127"/>
      <c r="P52" s="128">
        <f>F105</f>
        <v>0</v>
      </c>
      <c r="V52" s="57">
        <f t="shared" si="42"/>
        <v>58531</v>
      </c>
      <c r="W52" s="26">
        <v>36</v>
      </c>
      <c r="X52" s="269" t="str">
        <f t="shared" si="0"/>
        <v>-</v>
      </c>
      <c r="Y52" s="158">
        <f t="shared" si="1"/>
        <v>0</v>
      </c>
      <c r="Z52" s="156">
        <f t="shared" si="2"/>
        <v>0</v>
      </c>
      <c r="AA52" s="156">
        <f t="shared" si="3"/>
        <v>0</v>
      </c>
      <c r="AB52" s="156">
        <f t="shared" si="4"/>
        <v>0</v>
      </c>
      <c r="AC52" s="157">
        <f t="shared" si="5"/>
        <v>0</v>
      </c>
      <c r="AD52" s="158">
        <f t="shared" si="6"/>
        <v>0</v>
      </c>
      <c r="AE52" s="156">
        <f t="shared" si="7"/>
        <v>0</v>
      </c>
      <c r="AF52" s="156">
        <f t="shared" si="8"/>
        <v>0</v>
      </c>
      <c r="AG52" s="156">
        <f>IF(AND(SUM($AA$16:AA51)&gt;0,SUM($AG$16:AG51)&lt;$O$62,$W52&gt;=$O$65),$O$64,0)</f>
        <v>0</v>
      </c>
      <c r="AH52" s="153">
        <f>IF(SUM($AA$17:$AA51)&gt;0,($O$62-SUM($AG$17:$AG51))*$F$65,0)</f>
        <v>0</v>
      </c>
      <c r="AI52" s="157">
        <f t="shared" si="9"/>
        <v>0</v>
      </c>
      <c r="AJ52" s="153">
        <f t="shared" si="10"/>
        <v>0</v>
      </c>
      <c r="AK52" s="155">
        <f>(SUM($P$31,$P$51)-SUM($AU$17:AU51))*$O$109</f>
        <v>0</v>
      </c>
      <c r="AL52" s="160"/>
      <c r="AM52" s="154">
        <f t="shared" si="11"/>
        <v>0</v>
      </c>
      <c r="AN52" s="161"/>
      <c r="AO52" s="152">
        <f t="shared" si="12"/>
        <v>0</v>
      </c>
      <c r="AP52" s="153">
        <f t="shared" si="13"/>
        <v>0</v>
      </c>
      <c r="AQ52" s="153">
        <f t="shared" si="14"/>
        <v>0</v>
      </c>
      <c r="AR52" s="156">
        <f t="shared" si="15"/>
        <v>0</v>
      </c>
      <c r="AS52" s="157">
        <f t="shared" si="16"/>
        <v>0</v>
      </c>
      <c r="AT52" s="156">
        <f t="shared" si="17"/>
        <v>0</v>
      </c>
      <c r="AU52" s="156">
        <f t="shared" si="18"/>
        <v>0</v>
      </c>
      <c r="AV52" s="156">
        <f t="shared" si="19"/>
        <v>0</v>
      </c>
      <c r="AW52" s="156">
        <f t="shared" si="20"/>
        <v>0</v>
      </c>
      <c r="AX52" s="156">
        <f t="shared" si="21"/>
        <v>0</v>
      </c>
      <c r="AY52" s="156">
        <f t="shared" si="22"/>
        <v>0</v>
      </c>
      <c r="AZ52" s="156">
        <f>IF(AND(SUM($AQ$16:AQ51)&gt;0,SUM($AZ$16:AZ51)&lt;$P$62,$W52&gt;=$P$65),$P$64,0)</f>
        <v>0</v>
      </c>
      <c r="BA52" s="156">
        <f>IF(SUM($AQ$17:$AQ51)&gt;0,($P$62-SUM($AZ$17:$AZ51))*$F$65,0)</f>
        <v>0</v>
      </c>
      <c r="BB52" s="157">
        <f t="shared" si="23"/>
        <v>0</v>
      </c>
      <c r="BC52" s="153">
        <f t="shared" si="24"/>
        <v>0</v>
      </c>
      <c r="BD52" s="154">
        <f t="shared" si="25"/>
        <v>0</v>
      </c>
      <c r="BE52" s="163"/>
      <c r="BF52" s="47">
        <f t="shared" si="43"/>
        <v>0.29491861108817846</v>
      </c>
      <c r="BH52" s="152">
        <f t="shared" si="26"/>
        <v>0</v>
      </c>
      <c r="BI52" s="152">
        <f t="shared" si="27"/>
        <v>0</v>
      </c>
      <c r="BJ52" s="153">
        <f t="shared" si="28"/>
        <v>0</v>
      </c>
      <c r="BK52" s="153">
        <f t="shared" si="29"/>
        <v>0</v>
      </c>
      <c r="BL52" s="153">
        <f t="shared" si="30"/>
        <v>0</v>
      </c>
      <c r="BM52" s="156">
        <f t="shared" si="31"/>
        <v>0</v>
      </c>
      <c r="BN52" s="157">
        <f t="shared" si="32"/>
        <v>0</v>
      </c>
      <c r="BO52" s="153">
        <f t="shared" si="33"/>
        <v>0</v>
      </c>
      <c r="BP52" s="153">
        <f t="shared" si="34"/>
        <v>0</v>
      </c>
      <c r="BQ52" s="153">
        <f t="shared" si="35"/>
        <v>0</v>
      </c>
      <c r="BR52" s="153">
        <f t="shared" si="36"/>
        <v>0</v>
      </c>
      <c r="BS52" s="220">
        <f t="shared" si="37"/>
        <v>0</v>
      </c>
      <c r="BT52" s="153">
        <f t="shared" si="38"/>
        <v>0</v>
      </c>
      <c r="BU52" s="157">
        <f t="shared" si="39"/>
        <v>0</v>
      </c>
      <c r="BV52" s="157">
        <f t="shared" si="40"/>
        <v>0</v>
      </c>
      <c r="BW52" s="150"/>
      <c r="BX52" s="155">
        <f t="shared" si="41"/>
        <v>0</v>
      </c>
      <c r="BY52" s="273">
        <f t="shared" si="44"/>
        <v>0</v>
      </c>
    </row>
    <row r="53" spans="1:77" ht="15.75" customHeight="1" thickBot="1">
      <c r="M53" t="s">
        <v>151</v>
      </c>
      <c r="N53" s="19" t="s">
        <v>7</v>
      </c>
      <c r="O53" s="127"/>
      <c r="P53" s="129">
        <f>P94</f>
        <v>0</v>
      </c>
      <c r="V53" s="57">
        <f t="shared" si="42"/>
        <v>58896</v>
      </c>
      <c r="W53" s="26">
        <v>37</v>
      </c>
      <c r="X53" s="269" t="str">
        <f t="shared" si="0"/>
        <v>-</v>
      </c>
      <c r="Y53" s="158">
        <f t="shared" si="1"/>
        <v>0</v>
      </c>
      <c r="Z53" s="156">
        <f t="shared" si="2"/>
        <v>0</v>
      </c>
      <c r="AA53" s="156">
        <f t="shared" si="3"/>
        <v>0</v>
      </c>
      <c r="AB53" s="156">
        <f t="shared" si="4"/>
        <v>0</v>
      </c>
      <c r="AC53" s="157">
        <f t="shared" si="5"/>
        <v>0</v>
      </c>
      <c r="AD53" s="158">
        <f t="shared" si="6"/>
        <v>0</v>
      </c>
      <c r="AE53" s="156">
        <f t="shared" si="7"/>
        <v>0</v>
      </c>
      <c r="AF53" s="156">
        <f t="shared" si="8"/>
        <v>0</v>
      </c>
      <c r="AG53" s="156">
        <f>IF(AND(SUM($AA$16:AA52)&gt;0,SUM($AG$16:AG52)&lt;$O$62,$W53&gt;=$O$65),$O$64,0)</f>
        <v>0</v>
      </c>
      <c r="AH53" s="153">
        <f>IF(SUM($AA$17:$AA52)&gt;0,($O$62-SUM($AG$17:$AG52))*$F$65,0)</f>
        <v>0</v>
      </c>
      <c r="AI53" s="157">
        <f t="shared" si="9"/>
        <v>0</v>
      </c>
      <c r="AJ53" s="153">
        <f t="shared" si="10"/>
        <v>0</v>
      </c>
      <c r="AK53" s="155">
        <f>(SUM($P$31,$P$51)-SUM($AU$17:AU52))*$O$109</f>
        <v>0</v>
      </c>
      <c r="AL53" s="160"/>
      <c r="AM53" s="154">
        <f t="shared" si="11"/>
        <v>0</v>
      </c>
      <c r="AN53" s="161"/>
      <c r="AO53" s="152">
        <f t="shared" si="12"/>
        <v>0</v>
      </c>
      <c r="AP53" s="153">
        <f t="shared" si="13"/>
        <v>0</v>
      </c>
      <c r="AQ53" s="153">
        <f t="shared" si="14"/>
        <v>0</v>
      </c>
      <c r="AR53" s="156">
        <f t="shared" si="15"/>
        <v>0</v>
      </c>
      <c r="AS53" s="157">
        <f t="shared" si="16"/>
        <v>0</v>
      </c>
      <c r="AT53" s="156">
        <f t="shared" si="17"/>
        <v>0</v>
      </c>
      <c r="AU53" s="156">
        <f t="shared" si="18"/>
        <v>0</v>
      </c>
      <c r="AV53" s="156">
        <f t="shared" si="19"/>
        <v>0</v>
      </c>
      <c r="AW53" s="156">
        <f t="shared" si="20"/>
        <v>0</v>
      </c>
      <c r="AX53" s="156">
        <f t="shared" si="21"/>
        <v>0</v>
      </c>
      <c r="AY53" s="156">
        <f t="shared" si="22"/>
        <v>0</v>
      </c>
      <c r="AZ53" s="156">
        <f>IF(AND(SUM($AQ$16:AQ52)&gt;0,SUM($AZ$16:AZ52)&lt;$P$62,$W53&gt;=$P$65),$P$64,0)</f>
        <v>0</v>
      </c>
      <c r="BA53" s="156">
        <f>IF(SUM($AQ$17:$AQ52)&gt;0,($P$62-SUM($AZ$17:$AZ52))*$F$65,0)</f>
        <v>0</v>
      </c>
      <c r="BB53" s="157">
        <f t="shared" si="23"/>
        <v>0</v>
      </c>
      <c r="BC53" s="153">
        <f t="shared" si="24"/>
        <v>0</v>
      </c>
      <c r="BD53" s="154">
        <f t="shared" si="25"/>
        <v>0</v>
      </c>
      <c r="BE53" s="163"/>
      <c r="BF53" s="47">
        <f t="shared" si="43"/>
        <v>0.28508323933125035</v>
      </c>
      <c r="BH53" s="152">
        <f t="shared" si="26"/>
        <v>0</v>
      </c>
      <c r="BI53" s="152">
        <f t="shared" si="27"/>
        <v>0</v>
      </c>
      <c r="BJ53" s="153">
        <f t="shared" si="28"/>
        <v>0</v>
      </c>
      <c r="BK53" s="153">
        <f t="shared" si="29"/>
        <v>0</v>
      </c>
      <c r="BL53" s="153">
        <f t="shared" si="30"/>
        <v>0</v>
      </c>
      <c r="BM53" s="156">
        <f t="shared" si="31"/>
        <v>0</v>
      </c>
      <c r="BN53" s="157">
        <f t="shared" si="32"/>
        <v>0</v>
      </c>
      <c r="BO53" s="153">
        <f t="shared" si="33"/>
        <v>0</v>
      </c>
      <c r="BP53" s="153">
        <f t="shared" si="34"/>
        <v>0</v>
      </c>
      <c r="BQ53" s="153">
        <f t="shared" si="35"/>
        <v>0</v>
      </c>
      <c r="BR53" s="153">
        <f t="shared" si="36"/>
        <v>0</v>
      </c>
      <c r="BS53" s="220">
        <f t="shared" si="37"/>
        <v>0</v>
      </c>
      <c r="BT53" s="153">
        <f t="shared" si="38"/>
        <v>0</v>
      </c>
      <c r="BU53" s="157">
        <f t="shared" si="39"/>
        <v>0</v>
      </c>
      <c r="BV53" s="157">
        <f t="shared" si="40"/>
        <v>0</v>
      </c>
      <c r="BW53" s="150"/>
      <c r="BX53" s="155">
        <f t="shared" si="41"/>
        <v>0</v>
      </c>
      <c r="BY53" s="273">
        <f t="shared" si="44"/>
        <v>0</v>
      </c>
    </row>
    <row r="54" spans="1:77" ht="15.75" customHeight="1" thickBot="1">
      <c r="A54" s="4" t="s">
        <v>152</v>
      </c>
      <c r="K54" s="122" t="s">
        <v>153</v>
      </c>
      <c r="L54" s="123"/>
      <c r="M54" s="123"/>
      <c r="N54" s="124" t="s">
        <v>7</v>
      </c>
      <c r="O54" s="125"/>
      <c r="P54" s="126">
        <f>SUM(P52:P53)*$F$47</f>
        <v>0</v>
      </c>
      <c r="Q54" t="s">
        <v>154</v>
      </c>
      <c r="V54" s="57">
        <f t="shared" si="42"/>
        <v>59261</v>
      </c>
      <c r="W54" s="26">
        <v>38</v>
      </c>
      <c r="X54" s="269" t="str">
        <f t="shared" si="0"/>
        <v>-</v>
      </c>
      <c r="Y54" s="158">
        <f t="shared" si="1"/>
        <v>0</v>
      </c>
      <c r="Z54" s="156">
        <f t="shared" si="2"/>
        <v>0</v>
      </c>
      <c r="AA54" s="156">
        <f t="shared" si="3"/>
        <v>0</v>
      </c>
      <c r="AB54" s="156">
        <f t="shared" si="4"/>
        <v>0</v>
      </c>
      <c r="AC54" s="157">
        <f t="shared" si="5"/>
        <v>0</v>
      </c>
      <c r="AD54" s="158">
        <f t="shared" si="6"/>
        <v>0</v>
      </c>
      <c r="AE54" s="156">
        <f t="shared" si="7"/>
        <v>0</v>
      </c>
      <c r="AF54" s="156">
        <f t="shared" si="8"/>
        <v>0</v>
      </c>
      <c r="AG54" s="156">
        <f>IF(AND(SUM($AA$16:AA53)&gt;0,SUM($AG$16:AG53)&lt;$O$62,$W54&gt;=$O$65),$O$64,0)</f>
        <v>0</v>
      </c>
      <c r="AH54" s="153">
        <f>IF(SUM($AA$17:$AA53)&gt;0,($O$62-SUM($AG$17:$AG53))*$F$65,0)</f>
        <v>0</v>
      </c>
      <c r="AI54" s="157">
        <f t="shared" si="9"/>
        <v>0</v>
      </c>
      <c r="AJ54" s="153">
        <f t="shared" si="10"/>
        <v>0</v>
      </c>
      <c r="AK54" s="155">
        <f>(SUM($P$31,$P$51)-SUM($AU$17:AU53))*$O$109</f>
        <v>0</v>
      </c>
      <c r="AL54" s="160"/>
      <c r="AM54" s="154">
        <f t="shared" si="11"/>
        <v>0</v>
      </c>
      <c r="AN54" s="161"/>
      <c r="AO54" s="152">
        <f t="shared" si="12"/>
        <v>0</v>
      </c>
      <c r="AP54" s="153">
        <f t="shared" si="13"/>
        <v>0</v>
      </c>
      <c r="AQ54" s="153">
        <f t="shared" si="14"/>
        <v>0</v>
      </c>
      <c r="AR54" s="156">
        <f t="shared" si="15"/>
        <v>0</v>
      </c>
      <c r="AS54" s="157">
        <f t="shared" si="16"/>
        <v>0</v>
      </c>
      <c r="AT54" s="156">
        <f t="shared" si="17"/>
        <v>0</v>
      </c>
      <c r="AU54" s="156">
        <f t="shared" si="18"/>
        <v>0</v>
      </c>
      <c r="AV54" s="156">
        <f t="shared" si="19"/>
        <v>0</v>
      </c>
      <c r="AW54" s="156">
        <f t="shared" si="20"/>
        <v>0</v>
      </c>
      <c r="AX54" s="156">
        <f t="shared" si="21"/>
        <v>0</v>
      </c>
      <c r="AY54" s="156">
        <f t="shared" si="22"/>
        <v>0</v>
      </c>
      <c r="AZ54" s="156">
        <f>IF(AND(SUM($AQ$16:AQ53)&gt;0,SUM($AZ$16:AZ53)&lt;$P$62,$W54&gt;=$P$65),$P$64,0)</f>
        <v>0</v>
      </c>
      <c r="BA54" s="156">
        <f>IF(SUM($AQ$17:$AQ53)&gt;0,($P$62-SUM($AZ$17:$AZ53))*$F$65,0)</f>
        <v>0</v>
      </c>
      <c r="BB54" s="157">
        <f t="shared" si="23"/>
        <v>0</v>
      </c>
      <c r="BC54" s="153">
        <f t="shared" si="24"/>
        <v>0</v>
      </c>
      <c r="BD54" s="154">
        <f t="shared" si="25"/>
        <v>0</v>
      </c>
      <c r="BE54" s="163"/>
      <c r="BF54" s="47">
        <f t="shared" si="43"/>
        <v>0.27557587175567944</v>
      </c>
      <c r="BH54" s="152">
        <f t="shared" si="26"/>
        <v>0</v>
      </c>
      <c r="BI54" s="152">
        <f t="shared" si="27"/>
        <v>0</v>
      </c>
      <c r="BJ54" s="153">
        <f t="shared" si="28"/>
        <v>0</v>
      </c>
      <c r="BK54" s="153">
        <f t="shared" si="29"/>
        <v>0</v>
      </c>
      <c r="BL54" s="153">
        <f t="shared" si="30"/>
        <v>0</v>
      </c>
      <c r="BM54" s="156">
        <f t="shared" si="31"/>
        <v>0</v>
      </c>
      <c r="BN54" s="157">
        <f t="shared" si="32"/>
        <v>0</v>
      </c>
      <c r="BO54" s="153">
        <f t="shared" si="33"/>
        <v>0</v>
      </c>
      <c r="BP54" s="153">
        <f t="shared" si="34"/>
        <v>0</v>
      </c>
      <c r="BQ54" s="153">
        <f t="shared" si="35"/>
        <v>0</v>
      </c>
      <c r="BR54" s="153">
        <f t="shared" si="36"/>
        <v>0</v>
      </c>
      <c r="BS54" s="220">
        <f t="shared" si="37"/>
        <v>0</v>
      </c>
      <c r="BT54" s="153">
        <f t="shared" si="38"/>
        <v>0</v>
      </c>
      <c r="BU54" s="157">
        <f t="shared" si="39"/>
        <v>0</v>
      </c>
      <c r="BV54" s="157">
        <f t="shared" si="40"/>
        <v>0</v>
      </c>
      <c r="BW54" s="150"/>
      <c r="BX54" s="155">
        <f t="shared" si="41"/>
        <v>0</v>
      </c>
      <c r="BY54" s="273">
        <f t="shared" si="44"/>
        <v>0</v>
      </c>
    </row>
    <row r="55" spans="1:77" ht="15.75" customHeight="1">
      <c r="V55" s="57">
        <f t="shared" si="42"/>
        <v>59626</v>
      </c>
      <c r="W55" s="26">
        <v>39</v>
      </c>
      <c r="X55" s="269" t="str">
        <f t="shared" si="0"/>
        <v>-</v>
      </c>
      <c r="Y55" s="158">
        <f t="shared" si="1"/>
        <v>0</v>
      </c>
      <c r="Z55" s="156">
        <f t="shared" si="2"/>
        <v>0</v>
      </c>
      <c r="AA55" s="156">
        <f t="shared" si="3"/>
        <v>0</v>
      </c>
      <c r="AB55" s="156">
        <f t="shared" si="4"/>
        <v>0</v>
      </c>
      <c r="AC55" s="157">
        <f t="shared" si="5"/>
        <v>0</v>
      </c>
      <c r="AD55" s="158">
        <f t="shared" si="6"/>
        <v>0</v>
      </c>
      <c r="AE55" s="156">
        <f t="shared" si="7"/>
        <v>0</v>
      </c>
      <c r="AF55" s="156">
        <f t="shared" si="8"/>
        <v>0</v>
      </c>
      <c r="AG55" s="156">
        <f>IF(AND(SUM($AA$16:AA54)&gt;0,SUM($AG$16:AG54)&lt;$O$62,$W55&gt;=$O$65),$O$64,0)</f>
        <v>0</v>
      </c>
      <c r="AH55" s="153">
        <f>IF(SUM($AA$17:$AA54)&gt;0,($O$62-SUM($AG$17:$AG54))*$F$65,0)</f>
        <v>0</v>
      </c>
      <c r="AI55" s="157">
        <f t="shared" si="9"/>
        <v>0</v>
      </c>
      <c r="AJ55" s="153">
        <f t="shared" si="10"/>
        <v>0</v>
      </c>
      <c r="AK55" s="155">
        <f>(SUM($P$31,$P$51)-SUM($AU$17:AU54))*$O$109</f>
        <v>0</v>
      </c>
      <c r="AL55" s="160"/>
      <c r="AM55" s="154">
        <f t="shared" si="11"/>
        <v>0</v>
      </c>
      <c r="AN55" s="161"/>
      <c r="AO55" s="152">
        <f t="shared" si="12"/>
        <v>0</v>
      </c>
      <c r="AP55" s="153">
        <f t="shared" si="13"/>
        <v>0</v>
      </c>
      <c r="AQ55" s="153">
        <f t="shared" si="14"/>
        <v>0</v>
      </c>
      <c r="AR55" s="156">
        <f t="shared" si="15"/>
        <v>0</v>
      </c>
      <c r="AS55" s="157">
        <f t="shared" si="16"/>
        <v>0</v>
      </c>
      <c r="AT55" s="156">
        <f t="shared" si="17"/>
        <v>0</v>
      </c>
      <c r="AU55" s="156">
        <f t="shared" si="18"/>
        <v>0</v>
      </c>
      <c r="AV55" s="156">
        <f t="shared" si="19"/>
        <v>0</v>
      </c>
      <c r="AW55" s="156">
        <f t="shared" si="20"/>
        <v>0</v>
      </c>
      <c r="AX55" s="156">
        <f t="shared" si="21"/>
        <v>0</v>
      </c>
      <c r="AY55" s="156">
        <f t="shared" si="22"/>
        <v>0</v>
      </c>
      <c r="AZ55" s="156">
        <f>IF(AND(SUM($AQ$16:AQ54)&gt;0,SUM($AZ$16:AZ54)&lt;$P$62,$W55&gt;=$P$65),$P$64,0)</f>
        <v>0</v>
      </c>
      <c r="BA55" s="156">
        <f>IF(SUM($AQ$17:$AQ54)&gt;0,($P$62-SUM($AZ$17:$AZ54))*$F$65,0)</f>
        <v>0</v>
      </c>
      <c r="BB55" s="157">
        <f t="shared" si="23"/>
        <v>0</v>
      </c>
      <c r="BC55" s="153">
        <f t="shared" si="24"/>
        <v>0</v>
      </c>
      <c r="BD55" s="154">
        <f t="shared" si="25"/>
        <v>0</v>
      </c>
      <c r="BE55" s="163"/>
      <c r="BF55" s="47">
        <f t="shared" si="43"/>
        <v>0.26638556960433007</v>
      </c>
      <c r="BH55" s="152">
        <f t="shared" si="26"/>
        <v>0</v>
      </c>
      <c r="BI55" s="152">
        <f t="shared" si="27"/>
        <v>0</v>
      </c>
      <c r="BJ55" s="153">
        <f t="shared" si="28"/>
        <v>0</v>
      </c>
      <c r="BK55" s="153">
        <f t="shared" si="29"/>
        <v>0</v>
      </c>
      <c r="BL55" s="153">
        <f t="shared" si="30"/>
        <v>0</v>
      </c>
      <c r="BM55" s="156">
        <f t="shared" si="31"/>
        <v>0</v>
      </c>
      <c r="BN55" s="157">
        <f t="shared" si="32"/>
        <v>0</v>
      </c>
      <c r="BO55" s="153">
        <f t="shared" si="33"/>
        <v>0</v>
      </c>
      <c r="BP55" s="153">
        <f t="shared" si="34"/>
        <v>0</v>
      </c>
      <c r="BQ55" s="153">
        <f t="shared" si="35"/>
        <v>0</v>
      </c>
      <c r="BR55" s="153">
        <f t="shared" si="36"/>
        <v>0</v>
      </c>
      <c r="BS55" s="220">
        <f t="shared" si="37"/>
        <v>0</v>
      </c>
      <c r="BT55" s="153">
        <f t="shared" si="38"/>
        <v>0</v>
      </c>
      <c r="BU55" s="157">
        <f t="shared" si="39"/>
        <v>0</v>
      </c>
      <c r="BV55" s="157">
        <f t="shared" si="40"/>
        <v>0</v>
      </c>
      <c r="BW55" s="150"/>
      <c r="BX55" s="155">
        <f t="shared" si="41"/>
        <v>0</v>
      </c>
      <c r="BY55" s="273">
        <f t="shared" si="44"/>
        <v>0</v>
      </c>
    </row>
    <row r="56" spans="1:77" ht="15.75" customHeight="1">
      <c r="C56" s="55" t="s">
        <v>155</v>
      </c>
      <c r="D56" t="s">
        <v>7</v>
      </c>
      <c r="F56" s="1">
        <v>0</v>
      </c>
      <c r="V56" s="57">
        <f t="shared" si="42"/>
        <v>59992</v>
      </c>
      <c r="W56" s="26">
        <v>40</v>
      </c>
      <c r="X56" s="269" t="str">
        <f t="shared" si="0"/>
        <v>-</v>
      </c>
      <c r="Y56" s="158">
        <f t="shared" si="1"/>
        <v>0</v>
      </c>
      <c r="Z56" s="156">
        <f t="shared" si="2"/>
        <v>0</v>
      </c>
      <c r="AA56" s="156">
        <f t="shared" si="3"/>
        <v>0</v>
      </c>
      <c r="AB56" s="156">
        <f t="shared" si="4"/>
        <v>0</v>
      </c>
      <c r="AC56" s="157">
        <f t="shared" si="5"/>
        <v>0</v>
      </c>
      <c r="AD56" s="158">
        <f t="shared" si="6"/>
        <v>0</v>
      </c>
      <c r="AE56" s="156">
        <f t="shared" si="7"/>
        <v>0</v>
      </c>
      <c r="AF56" s="156">
        <f t="shared" si="8"/>
        <v>0</v>
      </c>
      <c r="AG56" s="156">
        <f>IF(AND(SUM($AA$16:AA55)&gt;0,SUM($AG$16:AG55)&lt;$O$62,$W56&gt;=$O$65),$O$64,0)</f>
        <v>0</v>
      </c>
      <c r="AH56" s="153">
        <f>IF(SUM($AA$17:$AA55)&gt;0,($O$62-SUM($AG$17:$AG55))*$F$65,0)</f>
        <v>0</v>
      </c>
      <c r="AI56" s="157">
        <f t="shared" si="9"/>
        <v>0</v>
      </c>
      <c r="AJ56" s="153">
        <f t="shared" si="10"/>
        <v>0</v>
      </c>
      <c r="AK56" s="155">
        <f>(SUM($P$31,$P$51)-SUM($AU$17:AU55))*$O$109</f>
        <v>0</v>
      </c>
      <c r="AL56" s="160"/>
      <c r="AM56" s="154">
        <f t="shared" si="11"/>
        <v>0</v>
      </c>
      <c r="AN56" s="161"/>
      <c r="AO56" s="152">
        <f t="shared" si="12"/>
        <v>0</v>
      </c>
      <c r="AP56" s="153">
        <f t="shared" si="13"/>
        <v>0</v>
      </c>
      <c r="AQ56" s="153">
        <f t="shared" si="14"/>
        <v>0</v>
      </c>
      <c r="AR56" s="156">
        <f t="shared" si="15"/>
        <v>0</v>
      </c>
      <c r="AS56" s="157">
        <f t="shared" si="16"/>
        <v>0</v>
      </c>
      <c r="AT56" s="156">
        <f t="shared" si="17"/>
        <v>0</v>
      </c>
      <c r="AU56" s="156">
        <f t="shared" si="18"/>
        <v>0</v>
      </c>
      <c r="AV56" s="156">
        <f t="shared" si="19"/>
        <v>0</v>
      </c>
      <c r="AW56" s="156">
        <f t="shared" si="20"/>
        <v>0</v>
      </c>
      <c r="AX56" s="156">
        <f t="shared" si="21"/>
        <v>0</v>
      </c>
      <c r="AY56" s="156">
        <f t="shared" si="22"/>
        <v>0</v>
      </c>
      <c r="AZ56" s="156">
        <f>IF(AND(SUM($AQ$16:AQ55)&gt;0,SUM($AZ$16:AZ55)&lt;$P$62,$W56&gt;=$P$65),$P$64,0)</f>
        <v>0</v>
      </c>
      <c r="BA56" s="156">
        <f>IF(SUM($AQ$17:$AQ55)&gt;0,($P$62-SUM($AZ$17:$AZ55))*$F$65,0)</f>
        <v>0</v>
      </c>
      <c r="BB56" s="157">
        <f t="shared" si="23"/>
        <v>0</v>
      </c>
      <c r="BC56" s="153">
        <f t="shared" si="24"/>
        <v>0</v>
      </c>
      <c r="BD56" s="154">
        <f t="shared" si="25"/>
        <v>0</v>
      </c>
      <c r="BE56" s="163"/>
      <c r="BF56" s="47">
        <f t="shared" si="43"/>
        <v>0.25750175892153704</v>
      </c>
      <c r="BH56" s="152">
        <f t="shared" si="26"/>
        <v>0</v>
      </c>
      <c r="BI56" s="152">
        <f t="shared" si="27"/>
        <v>0</v>
      </c>
      <c r="BJ56" s="153">
        <f t="shared" si="28"/>
        <v>0</v>
      </c>
      <c r="BK56" s="153">
        <f t="shared" si="29"/>
        <v>0</v>
      </c>
      <c r="BL56" s="153">
        <f t="shared" si="30"/>
        <v>0</v>
      </c>
      <c r="BM56" s="156">
        <f t="shared" si="31"/>
        <v>0</v>
      </c>
      <c r="BN56" s="157">
        <f t="shared" si="32"/>
        <v>0</v>
      </c>
      <c r="BO56" s="153">
        <f t="shared" si="33"/>
        <v>0</v>
      </c>
      <c r="BP56" s="153">
        <f t="shared" si="34"/>
        <v>0</v>
      </c>
      <c r="BQ56" s="153">
        <f t="shared" si="35"/>
        <v>0</v>
      </c>
      <c r="BR56" s="153">
        <f t="shared" si="36"/>
        <v>0</v>
      </c>
      <c r="BS56" s="220">
        <f t="shared" si="37"/>
        <v>0</v>
      </c>
      <c r="BT56" s="153">
        <f t="shared" si="38"/>
        <v>0</v>
      </c>
      <c r="BU56" s="157">
        <f t="shared" si="39"/>
        <v>0</v>
      </c>
      <c r="BV56" s="157">
        <f t="shared" si="40"/>
        <v>0</v>
      </c>
      <c r="BW56" s="150"/>
      <c r="BX56" s="155">
        <f t="shared" si="41"/>
        <v>0</v>
      </c>
      <c r="BY56" s="273">
        <f t="shared" si="44"/>
        <v>0</v>
      </c>
    </row>
    <row r="57" spans="1:77" ht="15.75" customHeight="1" thickBot="1">
      <c r="Y57" s="162"/>
      <c r="Z57" s="162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63"/>
      <c r="AL57" s="163"/>
      <c r="AM57" s="163"/>
      <c r="AN57" s="163"/>
      <c r="AO57" s="163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H57" s="150"/>
      <c r="BI57" s="150"/>
      <c r="BJ57" s="150"/>
      <c r="BK57" s="150"/>
      <c r="BL57" s="150"/>
      <c r="BM57" s="150"/>
      <c r="BN57" s="150"/>
      <c r="BO57" s="150"/>
      <c r="BP57" s="150"/>
      <c r="BQ57" s="150"/>
      <c r="BR57" s="150"/>
      <c r="BS57" s="150"/>
      <c r="BT57" s="150"/>
      <c r="BU57" s="150"/>
      <c r="BV57" s="150"/>
      <c r="BW57" s="150"/>
      <c r="BX57" s="150"/>
    </row>
    <row r="58" spans="1:77" ht="15.75" customHeight="1" thickTop="1">
      <c r="A58" s="4" t="s">
        <v>156</v>
      </c>
      <c r="E58" t="s">
        <v>2</v>
      </c>
      <c r="F58" t="s">
        <v>50</v>
      </c>
      <c r="J58" s="4" t="s">
        <v>156</v>
      </c>
      <c r="X58" s="142" t="s">
        <v>10</v>
      </c>
      <c r="Y58" s="225">
        <f t="shared" ref="Y58:AK58" si="45">SUM(Y16:Y56)</f>
        <v>1140</v>
      </c>
      <c r="Z58" s="225">
        <f t="shared" si="45"/>
        <v>384.75</v>
      </c>
      <c r="AA58" s="225">
        <f t="shared" si="45"/>
        <v>1282.5</v>
      </c>
      <c r="AB58" s="225">
        <f t="shared" si="45"/>
        <v>0</v>
      </c>
      <c r="AC58" s="225">
        <f t="shared" si="45"/>
        <v>1524.75</v>
      </c>
      <c r="AD58" s="225">
        <f t="shared" si="45"/>
        <v>2850</v>
      </c>
      <c r="AE58" s="225">
        <f t="shared" si="45"/>
        <v>0</v>
      </c>
      <c r="AF58" s="225">
        <f t="shared" si="45"/>
        <v>30</v>
      </c>
      <c r="AG58" s="225">
        <f t="shared" si="45"/>
        <v>1282.5</v>
      </c>
      <c r="AH58" s="225">
        <f t="shared" si="45"/>
        <v>259.70625000000001</v>
      </c>
      <c r="AI58" s="225">
        <f t="shared" si="45"/>
        <v>2880</v>
      </c>
      <c r="AJ58" s="232">
        <f t="shared" si="45"/>
        <v>-1355.25</v>
      </c>
      <c r="AK58" s="232">
        <f t="shared" si="45"/>
        <v>0</v>
      </c>
      <c r="AL58" s="225">
        <f>SUM(AJ58,AL16)</f>
        <v>-1355.25</v>
      </c>
      <c r="AM58" s="232">
        <f>SUM(AM16:AM56)</f>
        <v>-1225.0767138497936</v>
      </c>
      <c r="AN58" s="163"/>
      <c r="AO58" s="225">
        <f t="shared" ref="AO58:BD58" si="46">SUM(AO16:AO56)</f>
        <v>1140</v>
      </c>
      <c r="AP58" s="225">
        <f t="shared" si="46"/>
        <v>384.75</v>
      </c>
      <c r="AQ58" s="225">
        <f t="shared" si="46"/>
        <v>1282.5</v>
      </c>
      <c r="AR58" s="225">
        <f t="shared" si="46"/>
        <v>0</v>
      </c>
      <c r="AS58" s="225">
        <f t="shared" si="46"/>
        <v>1524.75</v>
      </c>
      <c r="AT58" s="225">
        <f t="shared" si="46"/>
        <v>2850</v>
      </c>
      <c r="AU58" s="225">
        <f t="shared" si="46"/>
        <v>0</v>
      </c>
      <c r="AV58" s="225">
        <f t="shared" si="46"/>
        <v>0</v>
      </c>
      <c r="AW58" s="225">
        <f t="shared" si="46"/>
        <v>0</v>
      </c>
      <c r="AX58" s="225">
        <f t="shared" si="46"/>
        <v>43</v>
      </c>
      <c r="AY58" s="225">
        <f t="shared" si="46"/>
        <v>0</v>
      </c>
      <c r="AZ58" s="225">
        <f t="shared" si="46"/>
        <v>1282.5</v>
      </c>
      <c r="BA58" s="225">
        <f t="shared" si="46"/>
        <v>259.70625000000001</v>
      </c>
      <c r="BB58" s="225">
        <f t="shared" si="46"/>
        <v>2893</v>
      </c>
      <c r="BC58" s="232">
        <f t="shared" si="46"/>
        <v>-1368.25</v>
      </c>
      <c r="BD58" s="232">
        <f t="shared" si="46"/>
        <v>-1238.0257178018512</v>
      </c>
      <c r="BH58" s="225">
        <f t="shared" ref="BH58:BV58" si="47">SUM(BH16:BH56)</f>
        <v>2850</v>
      </c>
      <c r="BI58" s="225">
        <f t="shared" si="47"/>
        <v>0</v>
      </c>
      <c r="BJ58" s="225">
        <f t="shared" si="47"/>
        <v>0</v>
      </c>
      <c r="BK58" s="225">
        <f t="shared" si="47"/>
        <v>0</v>
      </c>
      <c r="BL58" s="225">
        <f t="shared" si="47"/>
        <v>0</v>
      </c>
      <c r="BM58" s="225">
        <f t="shared" si="47"/>
        <v>0</v>
      </c>
      <c r="BN58" s="225">
        <f t="shared" si="47"/>
        <v>2850</v>
      </c>
      <c r="BO58" s="225">
        <f t="shared" si="47"/>
        <v>2850</v>
      </c>
      <c r="BP58" s="225">
        <f t="shared" si="47"/>
        <v>0</v>
      </c>
      <c r="BQ58" s="225">
        <f t="shared" si="47"/>
        <v>0</v>
      </c>
      <c r="BR58" s="225">
        <f t="shared" si="47"/>
        <v>0</v>
      </c>
      <c r="BS58" s="225">
        <f t="shared" si="47"/>
        <v>0</v>
      </c>
      <c r="BT58" s="225">
        <f t="shared" si="47"/>
        <v>0</v>
      </c>
      <c r="BU58" s="225">
        <f t="shared" si="47"/>
        <v>2850</v>
      </c>
      <c r="BV58" s="225">
        <f t="shared" si="47"/>
        <v>0</v>
      </c>
      <c r="BW58" s="163"/>
      <c r="BX58" s="165">
        <f>SUM(BX16:BX56)</f>
        <v>0</v>
      </c>
    </row>
    <row r="59" spans="1:77" ht="15.75" customHeight="1">
      <c r="B59" t="s">
        <v>157</v>
      </c>
      <c r="C59" t="s">
        <v>158</v>
      </c>
      <c r="D59" t="s">
        <v>7</v>
      </c>
      <c r="E59" s="21">
        <f>O62</f>
        <v>1282.5</v>
      </c>
      <c r="F59" s="21">
        <f>P62</f>
        <v>1282.5</v>
      </c>
      <c r="J59" s="4" t="s">
        <v>157</v>
      </c>
      <c r="O59" t="s">
        <v>2</v>
      </c>
      <c r="P59" t="s">
        <v>50</v>
      </c>
      <c r="AA59"/>
      <c r="AB59"/>
      <c r="AC59"/>
      <c r="AD59"/>
      <c r="AE59"/>
      <c r="AF59"/>
      <c r="AG59"/>
      <c r="AH59"/>
      <c r="AI59"/>
      <c r="AJ59"/>
      <c r="AK59"/>
      <c r="AL59" s="31" t="s">
        <v>159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</row>
    <row r="60" spans="1:77" ht="15.75" customHeight="1">
      <c r="C60" t="s">
        <v>160</v>
      </c>
      <c r="D60" t="s">
        <v>38</v>
      </c>
      <c r="E60" s="138">
        <v>0.4</v>
      </c>
      <c r="F60" s="138">
        <v>0.4</v>
      </c>
      <c r="K60" t="s">
        <v>161</v>
      </c>
      <c r="N60" s="19" t="s">
        <v>7</v>
      </c>
      <c r="O60" s="51">
        <f>O29</f>
        <v>2850</v>
      </c>
      <c r="P60" s="51">
        <f>P29</f>
        <v>2850</v>
      </c>
      <c r="AL60" s="31" t="s">
        <v>162</v>
      </c>
      <c r="BY60"/>
    </row>
    <row r="61" spans="1:77" ht="15.75" customHeight="1">
      <c r="C61" t="s">
        <v>163</v>
      </c>
      <c r="D61" t="s">
        <v>38</v>
      </c>
      <c r="E61" s="3">
        <v>0.3</v>
      </c>
      <c r="F61" s="3">
        <v>0.3</v>
      </c>
      <c r="K61" t="s">
        <v>62</v>
      </c>
      <c r="N61" s="19" t="s">
        <v>7</v>
      </c>
      <c r="O61" s="51">
        <f>O60*$E$60</f>
        <v>1140</v>
      </c>
      <c r="P61" s="51">
        <f>P60*$F$60</f>
        <v>1140</v>
      </c>
      <c r="V61" s="19"/>
    </row>
    <row r="62" spans="1:77" ht="15.75" customHeight="1">
      <c r="C62" s="265" t="s">
        <v>164</v>
      </c>
      <c r="D62" t="s">
        <v>38</v>
      </c>
      <c r="E62" s="3">
        <v>0.75</v>
      </c>
      <c r="F62" s="3">
        <v>0.75</v>
      </c>
      <c r="J62" s="4"/>
      <c r="K62" t="s">
        <v>165</v>
      </c>
      <c r="N62" s="19" t="s">
        <v>7</v>
      </c>
      <c r="O62" s="51">
        <f>(O60-O61)*$E$62</f>
        <v>1282.5</v>
      </c>
      <c r="P62" s="51">
        <f>(P30-P61)*$F$62</f>
        <v>1282.5</v>
      </c>
      <c r="V62" s="19"/>
    </row>
    <row r="63" spans="1:77" ht="15.75" customHeight="1">
      <c r="C63" t="s">
        <v>166</v>
      </c>
      <c r="D63" t="s">
        <v>91</v>
      </c>
      <c r="E63" s="1">
        <v>3</v>
      </c>
      <c r="F63" s="1">
        <v>3</v>
      </c>
      <c r="K63" t="s">
        <v>167</v>
      </c>
      <c r="N63" s="19" t="s">
        <v>7</v>
      </c>
      <c r="O63" s="51">
        <f>O62*$F$61</f>
        <v>384.75</v>
      </c>
      <c r="P63" s="51">
        <f>P62*$F$61</f>
        <v>384.75</v>
      </c>
      <c r="V63" s="19"/>
    </row>
    <row r="64" spans="1:77" ht="15.75" customHeight="1">
      <c r="C64" s="55" t="s">
        <v>168</v>
      </c>
      <c r="D64" t="s">
        <v>91</v>
      </c>
      <c r="E64" s="1">
        <v>20</v>
      </c>
      <c r="F64" s="1">
        <v>20</v>
      </c>
      <c r="K64" t="s">
        <v>169</v>
      </c>
      <c r="N64" s="19" t="s">
        <v>7</v>
      </c>
      <c r="O64" s="51">
        <f>O62/$F$64</f>
        <v>64.125</v>
      </c>
      <c r="P64" s="51">
        <f>P62/$F$64</f>
        <v>64.125</v>
      </c>
      <c r="V64" s="19"/>
    </row>
    <row r="65" spans="1:23" ht="15.75" customHeight="1">
      <c r="C65" s="55" t="s">
        <v>170</v>
      </c>
      <c r="D65" t="s">
        <v>38</v>
      </c>
      <c r="E65" s="53">
        <v>1.4999999999999999E-2</v>
      </c>
      <c r="F65" s="53">
        <v>1.4999999999999999E-2</v>
      </c>
      <c r="K65" t="s">
        <v>171</v>
      </c>
      <c r="N65" s="19" t="s">
        <v>172</v>
      </c>
      <c r="O65" s="51">
        <f>$F$16+E63+1</f>
        <v>7</v>
      </c>
      <c r="P65" s="51">
        <f>$F$16+F63+1</f>
        <v>7</v>
      </c>
    </row>
    <row r="66" spans="1:23" ht="15.75" customHeight="1">
      <c r="B66" t="s">
        <v>173</v>
      </c>
      <c r="C66" s="19"/>
      <c r="J66" s="4" t="s">
        <v>173</v>
      </c>
      <c r="P66" t="s">
        <v>50</v>
      </c>
    </row>
    <row r="67" spans="1:23" ht="15.75" customHeight="1">
      <c r="E67" t="s">
        <v>2</v>
      </c>
      <c r="F67" t="s">
        <v>50</v>
      </c>
      <c r="K67" t="s">
        <v>174</v>
      </c>
      <c r="O67" s="19"/>
      <c r="P67" s="109">
        <f>SUM(F69:F70)</f>
        <v>0</v>
      </c>
    </row>
    <row r="68" spans="1:23" ht="15.75" customHeight="1">
      <c r="C68" t="s">
        <v>158</v>
      </c>
      <c r="D68" t="s">
        <v>7</v>
      </c>
      <c r="F68" s="21">
        <f>P31</f>
        <v>0</v>
      </c>
    </row>
    <row r="69" spans="1:23" ht="15.75" customHeight="1">
      <c r="C69" t="s">
        <v>114</v>
      </c>
      <c r="D69" t="s">
        <v>38</v>
      </c>
      <c r="F69" s="17"/>
      <c r="H69" s="71" t="s">
        <v>175</v>
      </c>
    </row>
    <row r="70" spans="1:23" ht="15.75" customHeight="1">
      <c r="C70" t="s">
        <v>119</v>
      </c>
      <c r="D70" t="s">
        <v>38</v>
      </c>
      <c r="F70" s="18"/>
      <c r="H70" s="147" t="s">
        <v>175</v>
      </c>
    </row>
    <row r="71" spans="1:23" ht="15.75" customHeight="1">
      <c r="C71" s="55" t="s">
        <v>176</v>
      </c>
      <c r="D71" t="s">
        <v>38</v>
      </c>
    </row>
    <row r="72" spans="1:23" ht="15.75" customHeight="1">
      <c r="A72" s="4" t="s">
        <v>177</v>
      </c>
      <c r="J72" s="4" t="s">
        <v>177</v>
      </c>
      <c r="O72" s="19"/>
      <c r="P72" s="19"/>
      <c r="R72" s="4" t="s">
        <v>178</v>
      </c>
      <c r="S72" s="4"/>
      <c r="T72" s="4"/>
    </row>
    <row r="73" spans="1:23" ht="15.75" customHeight="1">
      <c r="C73" t="s">
        <v>179</v>
      </c>
      <c r="O73" s="19"/>
      <c r="P73" s="5" t="s">
        <v>179</v>
      </c>
      <c r="U73" s="4" t="s">
        <v>180</v>
      </c>
    </row>
    <row r="74" spans="1:23" ht="15.75" customHeight="1">
      <c r="C74" s="2" t="s">
        <v>181</v>
      </c>
      <c r="D74" t="s">
        <v>7</v>
      </c>
      <c r="F74" s="259">
        <v>0</v>
      </c>
      <c r="H74" s="71" t="s">
        <v>182</v>
      </c>
      <c r="N74" t="s">
        <v>183</v>
      </c>
      <c r="O74" s="2"/>
      <c r="P74" s="20">
        <f>F74</f>
        <v>0</v>
      </c>
      <c r="S74" t="s">
        <v>184</v>
      </c>
      <c r="T74" s="19" t="s">
        <v>7</v>
      </c>
      <c r="U74" s="20">
        <f>F90</f>
        <v>0</v>
      </c>
    </row>
    <row r="75" spans="1:23" ht="15.75" customHeight="1">
      <c r="C75" s="2" t="s">
        <v>185</v>
      </c>
      <c r="D75" t="s">
        <v>38</v>
      </c>
      <c r="F75" s="132"/>
      <c r="H75" t="s">
        <v>186</v>
      </c>
      <c r="N75" t="s">
        <v>187</v>
      </c>
      <c r="O75" s="2"/>
      <c r="P75" s="114">
        <f>F75</f>
        <v>0</v>
      </c>
      <c r="S75" t="s">
        <v>187</v>
      </c>
      <c r="T75" t="s">
        <v>38</v>
      </c>
      <c r="U75" s="114">
        <f>F91</f>
        <v>0</v>
      </c>
    </row>
    <row r="76" spans="1:23" ht="15.75" customHeight="1">
      <c r="C76" t="s">
        <v>188</v>
      </c>
      <c r="N76" t="s">
        <v>189</v>
      </c>
      <c r="O76" s="2" t="s">
        <v>7</v>
      </c>
      <c r="P76" s="115">
        <f>P74*P75</f>
        <v>0</v>
      </c>
      <c r="S76" t="s">
        <v>189</v>
      </c>
      <c r="T76" s="19" t="s">
        <v>7</v>
      </c>
      <c r="U76" s="115">
        <f>U74*U75</f>
        <v>0</v>
      </c>
      <c r="W76" s="112"/>
    </row>
    <row r="77" spans="1:23" ht="15.75" customHeight="1">
      <c r="C77" s="2" t="s">
        <v>189</v>
      </c>
      <c r="D77" t="s">
        <v>7</v>
      </c>
      <c r="F77" s="132"/>
      <c r="H77" t="s">
        <v>190</v>
      </c>
      <c r="N77"/>
      <c r="O77" s="2"/>
      <c r="P77" s="103" t="s">
        <v>188</v>
      </c>
      <c r="T77" s="19"/>
      <c r="U77" s="4" t="s">
        <v>191</v>
      </c>
    </row>
    <row r="78" spans="1:23" ht="15.75" customHeight="1">
      <c r="N78" t="s">
        <v>189</v>
      </c>
      <c r="O78" s="2" t="s">
        <v>7</v>
      </c>
      <c r="P78" s="116">
        <f>F77</f>
        <v>0</v>
      </c>
      <c r="S78" t="s">
        <v>184</v>
      </c>
      <c r="T78" s="19" t="s">
        <v>7</v>
      </c>
      <c r="U78" s="20">
        <f>F93</f>
        <v>0</v>
      </c>
    </row>
    <row r="79" spans="1:23" ht="15.75" customHeight="1">
      <c r="C79" t="s">
        <v>192</v>
      </c>
      <c r="O79" s="2"/>
      <c r="P79" s="103" t="s">
        <v>192</v>
      </c>
      <c r="S79" t="s">
        <v>187</v>
      </c>
      <c r="T79" t="s">
        <v>38</v>
      </c>
      <c r="U79" s="114">
        <f>F94</f>
        <v>0</v>
      </c>
    </row>
    <row r="80" spans="1:23" ht="15.75" customHeight="1">
      <c r="C80" s="2" t="s">
        <v>184</v>
      </c>
      <c r="D80" t="s">
        <v>7</v>
      </c>
      <c r="F80" s="264">
        <v>0</v>
      </c>
      <c r="H80" t="s">
        <v>193</v>
      </c>
      <c r="N80" t="s">
        <v>194</v>
      </c>
      <c r="O80" s="2"/>
      <c r="P80" s="20">
        <f>F80</f>
        <v>0</v>
      </c>
      <c r="S80" t="s">
        <v>189</v>
      </c>
      <c r="T80" s="19" t="s">
        <v>7</v>
      </c>
      <c r="U80" s="115">
        <f>U78*U79</f>
        <v>0</v>
      </c>
    </row>
    <row r="81" spans="3:21" ht="15.75" customHeight="1">
      <c r="C81" s="2" t="s">
        <v>187</v>
      </c>
      <c r="D81" t="s">
        <v>38</v>
      </c>
      <c r="F81" s="132"/>
      <c r="H81" s="71" t="s">
        <v>195</v>
      </c>
      <c r="N81" t="s">
        <v>187</v>
      </c>
      <c r="O81" s="2"/>
      <c r="P81" s="114">
        <f>F81</f>
        <v>0</v>
      </c>
      <c r="T81" s="19"/>
      <c r="U81" s="4" t="s">
        <v>196</v>
      </c>
    </row>
    <row r="82" spans="3:21" ht="15.75" customHeight="1">
      <c r="C82" t="s">
        <v>197</v>
      </c>
      <c r="N82" t="s">
        <v>189</v>
      </c>
      <c r="O82" s="2" t="s">
        <v>7</v>
      </c>
      <c r="P82" s="115">
        <f>P80*P81</f>
        <v>0</v>
      </c>
      <c r="S82" t="s">
        <v>184</v>
      </c>
      <c r="T82" s="19" t="s">
        <v>7</v>
      </c>
      <c r="U82" s="20">
        <f>F96</f>
        <v>0</v>
      </c>
    </row>
    <row r="83" spans="3:21" ht="15.75" customHeight="1">
      <c r="C83" s="2" t="s">
        <v>184</v>
      </c>
      <c r="D83" t="s">
        <v>7</v>
      </c>
      <c r="F83" s="264">
        <v>0</v>
      </c>
      <c r="H83" t="s">
        <v>193</v>
      </c>
      <c r="O83" s="2"/>
      <c r="P83" s="103" t="s">
        <v>198</v>
      </c>
      <c r="S83" t="s">
        <v>187</v>
      </c>
      <c r="T83" t="s">
        <v>38</v>
      </c>
      <c r="U83" s="114">
        <f>F97</f>
        <v>0</v>
      </c>
    </row>
    <row r="84" spans="3:21">
      <c r="C84" s="2" t="s">
        <v>187</v>
      </c>
      <c r="D84" t="s">
        <v>38</v>
      </c>
      <c r="F84" s="132"/>
      <c r="H84" s="147" t="s">
        <v>195</v>
      </c>
      <c r="N84" t="s">
        <v>194</v>
      </c>
      <c r="O84" s="2"/>
      <c r="P84" s="20">
        <f>F83</f>
        <v>0</v>
      </c>
      <c r="S84" t="s">
        <v>189</v>
      </c>
      <c r="T84" s="19" t="s">
        <v>7</v>
      </c>
      <c r="U84" s="115">
        <f>U82*U83</f>
        <v>0</v>
      </c>
    </row>
    <row r="85" spans="3:21">
      <c r="C85" t="s">
        <v>198</v>
      </c>
      <c r="N85" t="s">
        <v>187</v>
      </c>
      <c r="O85" s="2"/>
      <c r="P85" s="114">
        <f>F87</f>
        <v>0</v>
      </c>
      <c r="T85" s="19"/>
    </row>
    <row r="86" spans="3:21">
      <c r="C86" s="2" t="s">
        <v>184</v>
      </c>
      <c r="D86" t="s">
        <v>7</v>
      </c>
      <c r="F86" s="264">
        <v>0</v>
      </c>
      <c r="H86" t="s">
        <v>199</v>
      </c>
      <c r="N86" t="s">
        <v>189</v>
      </c>
      <c r="O86" s="2" t="s">
        <v>7</v>
      </c>
      <c r="P86" s="115">
        <f>P84*P85</f>
        <v>0</v>
      </c>
      <c r="S86" t="s">
        <v>200</v>
      </c>
      <c r="T86" s="19" t="s">
        <v>7</v>
      </c>
      <c r="U86" s="117">
        <f>IF($F$13="都道府県",P82,0)</f>
        <v>0</v>
      </c>
    </row>
    <row r="87" spans="3:21">
      <c r="C87" s="2" t="s">
        <v>187</v>
      </c>
      <c r="D87" t="s">
        <v>38</v>
      </c>
      <c r="F87" s="132"/>
      <c r="H87" s="147" t="s">
        <v>195</v>
      </c>
      <c r="N87"/>
      <c r="O87" s="2"/>
      <c r="P87" s="145" t="s">
        <v>197</v>
      </c>
      <c r="S87" t="s">
        <v>201</v>
      </c>
      <c r="T87" s="19" t="s">
        <v>7</v>
      </c>
      <c r="U87" s="68">
        <f>IF($F$13="市町村",P90,0)</f>
        <v>0</v>
      </c>
    </row>
    <row r="88" spans="3:21">
      <c r="C88" t="s">
        <v>202</v>
      </c>
      <c r="N88" t="s">
        <v>194</v>
      </c>
      <c r="O88" s="2"/>
      <c r="P88" s="20">
        <f>F83</f>
        <v>0</v>
      </c>
    </row>
    <row r="89" spans="3:21">
      <c r="C89" t="s">
        <v>180</v>
      </c>
      <c r="N89" t="s">
        <v>187</v>
      </c>
      <c r="O89" s="2"/>
      <c r="P89" s="114">
        <f>F84</f>
        <v>0</v>
      </c>
    </row>
    <row r="90" spans="3:21">
      <c r="C90" s="2" t="s">
        <v>184</v>
      </c>
      <c r="D90" t="s">
        <v>7</v>
      </c>
      <c r="F90" s="1">
        <v>0</v>
      </c>
      <c r="H90" t="s">
        <v>203</v>
      </c>
      <c r="N90" t="s">
        <v>189</v>
      </c>
      <c r="O90" s="2" t="s">
        <v>7</v>
      </c>
      <c r="P90" s="115">
        <f>P88*P89</f>
        <v>0</v>
      </c>
    </row>
    <row r="91" spans="3:21">
      <c r="C91" s="2" t="s">
        <v>187</v>
      </c>
      <c r="D91" t="s">
        <v>38</v>
      </c>
      <c r="F91" s="1">
        <v>0</v>
      </c>
      <c r="H91" t="s">
        <v>204</v>
      </c>
      <c r="K91" s="4" t="s">
        <v>205</v>
      </c>
      <c r="N91"/>
      <c r="O91" s="2"/>
      <c r="R91" s="4" t="s">
        <v>206</v>
      </c>
      <c r="S91" s="4"/>
    </row>
    <row r="92" spans="3:21">
      <c r="C92" t="s">
        <v>207</v>
      </c>
      <c r="M92" t="s">
        <v>208</v>
      </c>
      <c r="N92" t="s">
        <v>189</v>
      </c>
      <c r="O92" s="2" t="s">
        <v>7</v>
      </c>
      <c r="P92" s="51">
        <f>P78</f>
        <v>0</v>
      </c>
      <c r="S92" t="s">
        <v>209</v>
      </c>
      <c r="T92" s="19" t="s">
        <v>7</v>
      </c>
      <c r="U92" s="68">
        <f>SUM(F99,U76,U80,U84,U86:U87)</f>
        <v>0</v>
      </c>
    </row>
    <row r="93" spans="3:21">
      <c r="C93" s="2" t="s">
        <v>184</v>
      </c>
      <c r="D93" t="s">
        <v>7</v>
      </c>
      <c r="F93" s="1">
        <v>0</v>
      </c>
      <c r="H93" t="s">
        <v>203</v>
      </c>
      <c r="M93" t="s">
        <v>209</v>
      </c>
      <c r="N93" t="s">
        <v>189</v>
      </c>
      <c r="O93" s="2" t="s">
        <v>7</v>
      </c>
      <c r="P93" s="118">
        <f>SUM(P76,P78,P82,P86,P90)</f>
        <v>0</v>
      </c>
      <c r="S93" t="s">
        <v>210</v>
      </c>
      <c r="T93" s="19" t="s">
        <v>7</v>
      </c>
      <c r="U93" s="68">
        <f>SUM(F100,U76,U80,U84)</f>
        <v>0</v>
      </c>
    </row>
    <row r="94" spans="3:21">
      <c r="C94" s="2" t="s">
        <v>187</v>
      </c>
      <c r="D94" t="s">
        <v>38</v>
      </c>
      <c r="F94" s="1">
        <v>0</v>
      </c>
      <c r="H94" t="s">
        <v>204</v>
      </c>
      <c r="M94" t="s">
        <v>210</v>
      </c>
      <c r="N94" t="s">
        <v>189</v>
      </c>
      <c r="O94" s="2" t="s">
        <v>7</v>
      </c>
      <c r="P94" s="119">
        <f>SUM(P76,P78,P90)</f>
        <v>0</v>
      </c>
    </row>
    <row r="95" spans="3:21">
      <c r="C95" s="55" t="s">
        <v>211</v>
      </c>
    </row>
    <row r="96" spans="3:21">
      <c r="C96" s="2" t="s">
        <v>184</v>
      </c>
      <c r="D96" t="s">
        <v>7</v>
      </c>
      <c r="F96" s="1">
        <v>0</v>
      </c>
      <c r="H96" t="s">
        <v>203</v>
      </c>
    </row>
    <row r="97" spans="1:16">
      <c r="C97" s="2" t="s">
        <v>187</v>
      </c>
      <c r="D97" t="s">
        <v>38</v>
      </c>
      <c r="F97" s="1">
        <v>0</v>
      </c>
      <c r="H97" t="s">
        <v>212</v>
      </c>
    </row>
    <row r="99" spans="1:16">
      <c r="C99" t="s">
        <v>213</v>
      </c>
      <c r="D99" t="s">
        <v>7</v>
      </c>
      <c r="F99" s="110"/>
    </row>
    <row r="100" spans="1:16">
      <c r="C100" t="s">
        <v>214</v>
      </c>
      <c r="D100" t="s">
        <v>7</v>
      </c>
      <c r="F100" s="110"/>
    </row>
    <row r="102" spans="1:16">
      <c r="A102" s="4" t="s">
        <v>215</v>
      </c>
      <c r="J102" s="4" t="s">
        <v>216</v>
      </c>
      <c r="O102" t="s">
        <v>2</v>
      </c>
      <c r="P102" t="s">
        <v>50</v>
      </c>
    </row>
    <row r="103" spans="1:16">
      <c r="C103" s="31"/>
      <c r="D103" s="31"/>
      <c r="E103" s="31"/>
      <c r="F103" s="31" t="s">
        <v>49</v>
      </c>
      <c r="K103" t="s">
        <v>217</v>
      </c>
      <c r="N103" s="19" t="s">
        <v>7</v>
      </c>
      <c r="O103" s="51">
        <f>F104</f>
        <v>0</v>
      </c>
      <c r="P103" s="52"/>
    </row>
    <row r="104" spans="1:16">
      <c r="C104" s="93" t="s">
        <v>138</v>
      </c>
      <c r="D104" t="s">
        <v>7</v>
      </c>
      <c r="F104" s="146"/>
      <c r="H104" s="147" t="s">
        <v>182</v>
      </c>
      <c r="K104" t="s">
        <v>218</v>
      </c>
      <c r="N104" s="19" t="s">
        <v>7</v>
      </c>
      <c r="O104" s="140">
        <f>F105*O16</f>
        <v>0</v>
      </c>
      <c r="P104" s="52"/>
    </row>
    <row r="105" spans="1:16">
      <c r="C105" s="93" t="s">
        <v>219</v>
      </c>
      <c r="D105" t="s">
        <v>7</v>
      </c>
      <c r="F105" s="146"/>
      <c r="H105" s="147" t="s">
        <v>182</v>
      </c>
      <c r="K105" t="s">
        <v>220</v>
      </c>
      <c r="N105" s="19" t="s">
        <v>7</v>
      </c>
      <c r="O105" s="51">
        <f>F106</f>
        <v>0</v>
      </c>
      <c r="P105" s="52"/>
    </row>
    <row r="106" spans="1:16">
      <c r="C106" s="93" t="s">
        <v>221</v>
      </c>
      <c r="D106" t="s">
        <v>7</v>
      </c>
      <c r="F106" s="146"/>
      <c r="H106" s="147" t="s">
        <v>182</v>
      </c>
      <c r="K106" t="s">
        <v>222</v>
      </c>
    </row>
    <row r="107" spans="1:16">
      <c r="C107" s="93"/>
      <c r="M107" t="s">
        <v>223</v>
      </c>
      <c r="N107" s="19" t="s">
        <v>38</v>
      </c>
      <c r="O107" s="69">
        <f>F65</f>
        <v>1.4999999999999999E-2</v>
      </c>
      <c r="P107" s="52"/>
    </row>
    <row r="108" spans="1:16">
      <c r="C108" s="93"/>
      <c r="M108" t="s">
        <v>224</v>
      </c>
      <c r="N108" s="19" t="s">
        <v>38</v>
      </c>
      <c r="O108" s="70">
        <f>P67</f>
        <v>0</v>
      </c>
      <c r="P108" s="52"/>
    </row>
    <row r="109" spans="1:16">
      <c r="C109" s="93"/>
      <c r="M109" t="s">
        <v>225</v>
      </c>
      <c r="N109" s="19" t="s">
        <v>38</v>
      </c>
      <c r="O109" s="69">
        <f>O108-O107</f>
        <v>-1.4999999999999999E-2</v>
      </c>
      <c r="P109" s="52"/>
    </row>
    <row r="110" spans="1:16">
      <c r="M110" s="94" t="s">
        <v>226</v>
      </c>
      <c r="N110" t="s">
        <v>7</v>
      </c>
      <c r="O110" s="140">
        <f>SUM(AK17:AK46)</f>
        <v>0</v>
      </c>
      <c r="P110" s="52"/>
    </row>
    <row r="112" spans="1:16" s="254" customFormat="1" ht="15" customHeight="1" thickBot="1">
      <c r="B112" s="254" t="s">
        <v>227</v>
      </c>
      <c r="I112" s="255"/>
    </row>
    <row r="113" ht="19" hidden="1" customHeight="1" thickTop="1"/>
  </sheetData>
  <phoneticPr fontId="2"/>
  <dataValidations count="2">
    <dataValidation type="list" showInputMessage="1" showErrorMessage="1" sqref="F13" xr:uid="{00000000-0002-0000-0200-000000000000}">
      <formula1>$O$13:$Q$13</formula1>
    </dataValidation>
    <dataValidation type="list" showInputMessage="1" showErrorMessage="1" sqref="F47" xr:uid="{00000000-0002-0000-0200-000001000000}">
      <formula1>$G$47:$G$48</formula1>
    </dataValidation>
  </dataValidations>
  <pageMargins left="0.23622047244094491" right="0.23622047244094491" top="0.74803149606299213" bottom="0.74803149606299213" header="0.31496062992125978" footer="0.31496062992125978"/>
  <pageSetup paperSize="8" scale="42" fitToWidth="0" orientation="landscape"/>
  <colBreaks count="2" manualBreakCount="2">
    <brk id="21" max="1048575" man="1"/>
    <brk id="5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pageSetUpPr fitToPage="1"/>
  </sheetPr>
  <dimension ref="A1:CM113"/>
  <sheetViews>
    <sheetView showGridLines="0" view="pageBreakPreview" topLeftCell="S10" zoomScale="70" zoomScaleNormal="70" zoomScaleSheetLayoutView="70" workbookViewId="0">
      <selection activeCell="AC19" sqref="AC19"/>
    </sheetView>
  </sheetViews>
  <sheetFormatPr baseColWidth="10" defaultColWidth="0" defaultRowHeight="18" zeroHeight="1" outlineLevelCol="1"/>
  <cols>
    <col min="1" max="1" width="4.83203125" style="286" customWidth="1"/>
    <col min="2" max="2" width="40.6640625" style="286" customWidth="1"/>
    <col min="3" max="3" width="40.1640625" style="286" bestFit="1" customWidth="1"/>
    <col min="4" max="4" width="7.33203125" style="286" customWidth="1"/>
    <col min="5" max="5" width="8.5" style="286" bestFit="1" customWidth="1"/>
    <col min="6" max="6" width="11.5" style="286" customWidth="1"/>
    <col min="7" max="7" width="2.5" style="286" customWidth="1"/>
    <col min="8" max="8" width="43.6640625" style="286" customWidth="1"/>
    <col min="9" max="9" width="1.6640625" style="286" customWidth="1"/>
    <col min="10" max="11" width="12.5" style="286" customWidth="1" outlineLevel="1"/>
    <col min="12" max="12" width="1.83203125" style="286" customWidth="1" outlineLevel="1"/>
    <col min="13" max="13" width="42.1640625" style="286" customWidth="1" outlineLevel="1"/>
    <col min="14" max="14" width="11.1640625" style="19" customWidth="1" outlineLevel="1"/>
    <col min="15" max="16" width="24.5" style="286" customWidth="1" outlineLevel="1"/>
    <col min="17" max="17" width="4.6640625" style="286" customWidth="1" outlineLevel="1"/>
    <col min="18" max="18" width="10" style="286" customWidth="1" outlineLevel="1"/>
    <col min="19" max="19" width="19.1640625" style="286" customWidth="1" outlineLevel="1"/>
    <col min="20" max="20" width="7.5" style="286" customWidth="1" outlineLevel="1"/>
    <col min="21" max="21" width="24.5" style="286" customWidth="1" outlineLevel="1"/>
    <col min="22" max="22" width="12" style="286" customWidth="1"/>
    <col min="23" max="23" width="9.6640625" style="286" customWidth="1"/>
    <col min="24" max="24" width="21.5" style="286" customWidth="1"/>
    <col min="25" max="26" width="10.83203125" style="286" customWidth="1"/>
    <col min="27" max="36" width="10.83203125" style="19" customWidth="1"/>
    <col min="37" max="38" width="10.83203125" style="31" customWidth="1"/>
    <col min="39" max="39" width="12" style="31" customWidth="1"/>
    <col min="40" max="40" width="1.6640625" style="31" customWidth="1"/>
    <col min="41" max="41" width="10.33203125" style="31" customWidth="1"/>
    <col min="42" max="45" width="10.33203125" style="19" customWidth="1"/>
    <col min="46" max="49" width="16" style="19" customWidth="1"/>
    <col min="50" max="54" width="10.6640625" style="19" customWidth="1"/>
    <col min="55" max="56" width="12" style="19" customWidth="1"/>
    <col min="57" max="57" width="1.6640625" style="19" customWidth="1"/>
    <col min="58" max="58" width="12" style="31" customWidth="1"/>
    <col min="59" max="59" width="1.5" style="19" customWidth="1"/>
    <col min="60" max="63" width="16" style="19" customWidth="1"/>
    <col min="64" max="70" width="12" style="19" customWidth="1"/>
    <col min="71" max="71" width="16.83203125" style="19" customWidth="1"/>
    <col min="72" max="74" width="12" style="19" customWidth="1"/>
    <col min="75" max="75" width="2.1640625" style="19" customWidth="1"/>
    <col min="76" max="76" width="12" style="19" customWidth="1"/>
    <col min="77" max="77" width="21" style="19" bestFit="1" customWidth="1"/>
    <col min="78" max="78" width="3.33203125" style="19" hidden="1" customWidth="1"/>
    <col min="79" max="79" width="0" style="19" hidden="1" customWidth="1"/>
    <col min="80" max="91" width="0" style="286" hidden="1" customWidth="1"/>
    <col min="92" max="92" width="9" style="286" hidden="1" customWidth="1"/>
    <col min="93" max="16384" width="9" style="286" hidden="1"/>
  </cols>
  <sheetData>
    <row r="1" spans="1:79" ht="15.75" customHeight="1"/>
    <row r="2" spans="1:79">
      <c r="B2" s="4" t="s">
        <v>24</v>
      </c>
      <c r="Y2" s="233"/>
      <c r="Z2" s="2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26"/>
      <c r="AL2" s="226"/>
      <c r="AM2" s="226"/>
      <c r="AO2" s="226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</row>
    <row r="3" spans="1:79">
      <c r="B3" s="260" t="s">
        <v>25</v>
      </c>
      <c r="Y3" s="233"/>
      <c r="Z3" s="2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226"/>
      <c r="AL3" s="226"/>
      <c r="AM3" s="226"/>
      <c r="AO3" s="226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</row>
    <row r="4" spans="1:79">
      <c r="B4" s="261" t="s">
        <v>26</v>
      </c>
      <c r="Y4" s="233"/>
      <c r="Z4" s="2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26"/>
      <c r="AL4" s="226"/>
      <c r="AM4" s="226"/>
      <c r="AO4" s="226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</row>
    <row r="5" spans="1:79" ht="15.75" customHeight="1">
      <c r="B5" s="262" t="s">
        <v>27</v>
      </c>
      <c r="Y5" s="233"/>
      <c r="Z5" s="2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226"/>
      <c r="AL5" s="226"/>
      <c r="AM5" s="226"/>
      <c r="AO5" s="226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</row>
    <row r="6" spans="1:79" ht="15.75" customHeight="1">
      <c r="Y6" s="233"/>
      <c r="Z6" s="2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226"/>
      <c r="AL6" s="226"/>
      <c r="AM6" s="226"/>
      <c r="AO6" s="226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pans="1:79" s="4" customFormat="1" ht="15.75" customHeight="1">
      <c r="A7" s="25" t="s">
        <v>28</v>
      </c>
      <c r="B7" s="25"/>
      <c r="C7" s="25"/>
      <c r="D7" s="25"/>
      <c r="E7" s="25"/>
      <c r="F7" s="25"/>
      <c r="G7" s="25"/>
      <c r="H7" s="25"/>
      <c r="I7" s="25"/>
      <c r="J7" s="24" t="s">
        <v>29</v>
      </c>
      <c r="K7" s="24"/>
      <c r="L7" s="24"/>
      <c r="M7" s="24"/>
      <c r="N7" s="84"/>
      <c r="O7" s="24"/>
      <c r="P7" s="24"/>
      <c r="Q7" s="24"/>
      <c r="R7" s="24"/>
      <c r="S7" s="24"/>
      <c r="T7" s="24"/>
      <c r="U7" s="24"/>
      <c r="V7" s="22" t="s">
        <v>30</v>
      </c>
      <c r="W7" s="22"/>
      <c r="X7" s="22"/>
      <c r="Y7" s="22"/>
      <c r="Z7" s="22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30"/>
      <c r="AL7" s="30"/>
      <c r="AM7" s="30"/>
      <c r="AN7" s="30"/>
      <c r="AO7" s="30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30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</row>
    <row r="8" spans="1:79" s="4" customFormat="1" ht="15.75" customHeight="1">
      <c r="A8" s="247"/>
      <c r="B8" s="263" t="s">
        <v>31</v>
      </c>
      <c r="C8" s="247"/>
      <c r="D8" s="247"/>
      <c r="E8" s="247"/>
      <c r="F8" s="247"/>
      <c r="G8" s="247"/>
      <c r="H8" s="247"/>
      <c r="I8" s="247"/>
      <c r="N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250"/>
      <c r="AL8" s="250"/>
      <c r="AM8" s="250"/>
      <c r="AN8" s="250"/>
      <c r="AO8" s="250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250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1:79" ht="15.75" customHeight="1" thickBot="1">
      <c r="W9" s="54" t="s">
        <v>32</v>
      </c>
      <c r="X9" s="49"/>
      <c r="Y9" s="49"/>
      <c r="AC9" s="8" t="s">
        <v>33</v>
      </c>
    </row>
    <row r="10" spans="1:79" ht="15.75" customHeight="1">
      <c r="D10" t="s">
        <v>34</v>
      </c>
      <c r="K10" s="19"/>
      <c r="L10" s="19"/>
      <c r="M10" s="19"/>
      <c r="N10" s="19" t="s">
        <v>34</v>
      </c>
      <c r="O10" s="19"/>
      <c r="P10" s="19"/>
      <c r="Q10" s="19" t="s">
        <v>35</v>
      </c>
      <c r="R10" s="19"/>
      <c r="S10" s="19"/>
      <c r="T10" s="19"/>
      <c r="U10" s="19"/>
      <c r="W10" s="10" t="s">
        <v>36</v>
      </c>
      <c r="X10" s="11" t="s">
        <v>37</v>
      </c>
      <c r="Y10" s="12" t="s">
        <v>38</v>
      </c>
      <c r="AC10" s="9" t="s">
        <v>39</v>
      </c>
      <c r="BQ10" s="5"/>
      <c r="BR10" s="5"/>
      <c r="BS10" s="5"/>
      <c r="BT10" s="5"/>
      <c r="BY10" s="5"/>
    </row>
    <row r="11" spans="1:79" ht="15.75" customHeight="1" thickBot="1">
      <c r="A11" s="4" t="s">
        <v>40</v>
      </c>
      <c r="J11" s="4" t="s">
        <v>40</v>
      </c>
      <c r="W11" s="168">
        <f>AL58-BC58</f>
        <v>13</v>
      </c>
      <c r="X11" s="169">
        <f>AM58-BD58</f>
        <v>12.949003952057637</v>
      </c>
      <c r="Y11" s="56">
        <f>X11/AM58</f>
        <v>-1.0569953543044254E-2</v>
      </c>
      <c r="AC11" s="164" t="str">
        <f>IFERROR(XIRR(BV17:BV56,V17:V56),"N/A")</f>
        <v>N/A</v>
      </c>
      <c r="AD11" s="55" t="s">
        <v>41</v>
      </c>
      <c r="BQ11" s="5"/>
      <c r="BR11" s="5"/>
      <c r="BS11" s="5"/>
      <c r="BT11" s="5"/>
      <c r="BY11" s="5"/>
    </row>
    <row r="12" spans="1:79" ht="15.75" customHeight="1">
      <c r="AA12"/>
      <c r="AB12"/>
      <c r="AC12"/>
      <c r="AD12"/>
    </row>
    <row r="13" spans="1:79" ht="15.75" customHeight="1">
      <c r="B13" t="s">
        <v>42</v>
      </c>
      <c r="F13" s="29" t="s">
        <v>43</v>
      </c>
      <c r="J13" t="s">
        <v>42</v>
      </c>
      <c r="O13" t="s">
        <v>44</v>
      </c>
      <c r="P13" t="s">
        <v>45</v>
      </c>
      <c r="Q13" t="s">
        <v>43</v>
      </c>
      <c r="V13" s="5" t="s">
        <v>46</v>
      </c>
      <c r="W13" s="5" t="s">
        <v>47</v>
      </c>
      <c r="X13" s="5" t="s">
        <v>48</v>
      </c>
      <c r="Y13" s="58" t="s">
        <v>2</v>
      </c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102"/>
      <c r="AK13" s="143" t="s">
        <v>49</v>
      </c>
      <c r="AL13" s="144"/>
      <c r="AM13" s="95"/>
      <c r="AN13" s="32"/>
      <c r="AO13" s="202" t="s">
        <v>50</v>
      </c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4"/>
      <c r="BD13" s="205" t="s">
        <v>51</v>
      </c>
      <c r="BE13" s="33"/>
      <c r="BF13" s="19"/>
      <c r="BH13" s="64" t="s">
        <v>52</v>
      </c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133"/>
      <c r="BX13" s="83" t="s">
        <v>53</v>
      </c>
      <c r="BY13" s="83" t="s">
        <v>54</v>
      </c>
    </row>
    <row r="14" spans="1:79" ht="15.75" customHeight="1">
      <c r="B14" t="s">
        <v>55</v>
      </c>
      <c r="D14" t="s">
        <v>56</v>
      </c>
      <c r="F14" s="131" t="s">
        <v>228</v>
      </c>
      <c r="Y14" s="58" t="s">
        <v>58</v>
      </c>
      <c r="Z14" s="59"/>
      <c r="AA14" s="59"/>
      <c r="AB14" s="59"/>
      <c r="AC14" s="60"/>
      <c r="AD14" s="58" t="s">
        <v>59</v>
      </c>
      <c r="AE14" s="59"/>
      <c r="AF14" s="59"/>
      <c r="AG14" s="59"/>
      <c r="AH14" s="59"/>
      <c r="AI14" s="141"/>
      <c r="AJ14" s="104" t="s">
        <v>51</v>
      </c>
      <c r="AK14" s="95"/>
      <c r="AL14" s="34"/>
      <c r="AM14" s="106" t="s">
        <v>51</v>
      </c>
      <c r="AN14" s="32"/>
      <c r="AO14" s="62" t="s">
        <v>58</v>
      </c>
      <c r="AP14" s="61"/>
      <c r="AQ14" s="61"/>
      <c r="AR14" s="61"/>
      <c r="AS14" s="63"/>
      <c r="AT14" s="61" t="s">
        <v>59</v>
      </c>
      <c r="AU14" s="61"/>
      <c r="AV14" s="61"/>
      <c r="AW14" s="61"/>
      <c r="AX14" s="61"/>
      <c r="AY14" s="61"/>
      <c r="AZ14" s="61"/>
      <c r="BA14" s="61"/>
      <c r="BB14" s="63"/>
      <c r="BC14" s="35" t="s">
        <v>51</v>
      </c>
      <c r="BD14" s="35" t="s">
        <v>60</v>
      </c>
      <c r="BE14" s="33"/>
      <c r="BF14" s="19"/>
      <c r="BH14" s="64" t="s">
        <v>58</v>
      </c>
      <c r="BI14" s="65"/>
      <c r="BJ14" s="65"/>
      <c r="BK14" s="65"/>
      <c r="BL14" s="65"/>
      <c r="BM14" s="65"/>
      <c r="BN14" s="66"/>
      <c r="BO14" s="64" t="s">
        <v>59</v>
      </c>
      <c r="BP14" s="65"/>
      <c r="BQ14" s="65"/>
      <c r="BR14" s="65"/>
      <c r="BS14" s="65"/>
      <c r="BT14" s="65"/>
      <c r="BU14" s="66"/>
      <c r="BV14" s="44" t="s">
        <v>51</v>
      </c>
      <c r="BX14" s="90"/>
      <c r="BY14" s="275" t="s">
        <v>61</v>
      </c>
    </row>
    <row r="15" spans="1:79" s="233" customFormat="1" ht="32.25" customHeight="1">
      <c r="N15" s="33"/>
      <c r="Y15" s="39" t="s">
        <v>62</v>
      </c>
      <c r="Z15" s="40" t="s">
        <v>63</v>
      </c>
      <c r="AA15" s="40" t="s">
        <v>64</v>
      </c>
      <c r="AB15" s="40" t="s">
        <v>65</v>
      </c>
      <c r="AC15" s="41" t="s">
        <v>66</v>
      </c>
      <c r="AD15" s="39" t="s">
        <v>67</v>
      </c>
      <c r="AE15" s="40" t="s">
        <v>68</v>
      </c>
      <c r="AF15" s="40" t="s">
        <v>79</v>
      </c>
      <c r="AG15" s="40" t="s">
        <v>70</v>
      </c>
      <c r="AH15" s="40" t="s">
        <v>71</v>
      </c>
      <c r="AI15" s="42" t="s">
        <v>72</v>
      </c>
      <c r="AJ15" s="96"/>
      <c r="AK15" s="82" t="s">
        <v>73</v>
      </c>
      <c r="AL15" s="42" t="s">
        <v>10</v>
      </c>
      <c r="AM15" s="108" t="s">
        <v>60</v>
      </c>
      <c r="AN15" s="32"/>
      <c r="AO15" s="85" t="s">
        <v>62</v>
      </c>
      <c r="AP15" s="86" t="s">
        <v>63</v>
      </c>
      <c r="AQ15" s="86" t="s">
        <v>64</v>
      </c>
      <c r="AR15" s="86" t="s">
        <v>74</v>
      </c>
      <c r="AS15" s="43" t="s">
        <v>66</v>
      </c>
      <c r="AT15" s="86" t="s">
        <v>75</v>
      </c>
      <c r="AU15" s="86" t="s">
        <v>76</v>
      </c>
      <c r="AV15" s="86" t="s">
        <v>77</v>
      </c>
      <c r="AW15" s="86" t="s">
        <v>78</v>
      </c>
      <c r="AX15" s="86" t="s">
        <v>79</v>
      </c>
      <c r="AY15" s="86" t="s">
        <v>80</v>
      </c>
      <c r="AZ15" s="86" t="s">
        <v>70</v>
      </c>
      <c r="BA15" s="86" t="s">
        <v>71</v>
      </c>
      <c r="BB15" s="43" t="s">
        <v>72</v>
      </c>
      <c r="BC15" s="87"/>
      <c r="BD15" s="43"/>
      <c r="BE15" s="33"/>
      <c r="BF15" s="252" t="s">
        <v>81</v>
      </c>
      <c r="BG15" s="33"/>
      <c r="BH15" s="45" t="s">
        <v>75</v>
      </c>
      <c r="BI15" s="37" t="s">
        <v>76</v>
      </c>
      <c r="BJ15" s="37" t="s">
        <v>77</v>
      </c>
      <c r="BK15" s="37" t="s">
        <v>78</v>
      </c>
      <c r="BL15" s="37" t="s">
        <v>82</v>
      </c>
      <c r="BM15" s="37" t="s">
        <v>65</v>
      </c>
      <c r="BN15" s="38" t="s">
        <v>66</v>
      </c>
      <c r="BO15" s="37" t="s">
        <v>83</v>
      </c>
      <c r="BP15" s="37" t="s">
        <v>84</v>
      </c>
      <c r="BQ15" s="37" t="s">
        <v>85</v>
      </c>
      <c r="BR15" s="37" t="s">
        <v>86</v>
      </c>
      <c r="BS15" s="37" t="s">
        <v>87</v>
      </c>
      <c r="BT15" s="37" t="s">
        <v>88</v>
      </c>
      <c r="BU15" s="38" t="s">
        <v>72</v>
      </c>
      <c r="BV15" s="38"/>
      <c r="BW15" s="33"/>
      <c r="BX15" s="91"/>
      <c r="BY15" s="274">
        <f>IF(SUM(BY17:BY46)=0,0,1)</f>
        <v>0</v>
      </c>
      <c r="BZ15" s="33"/>
    </row>
    <row r="16" spans="1:79" ht="15.75" customHeight="1">
      <c r="B16" t="s">
        <v>89</v>
      </c>
      <c r="C16" t="s">
        <v>90</v>
      </c>
      <c r="D16" t="s">
        <v>91</v>
      </c>
      <c r="F16" s="1">
        <v>3</v>
      </c>
      <c r="J16" s="4" t="s">
        <v>92</v>
      </c>
      <c r="N16" s="19" t="s">
        <v>91</v>
      </c>
      <c r="O16" s="20">
        <f>SUM(F16:F17)</f>
        <v>3</v>
      </c>
      <c r="V16" s="103" t="s">
        <v>49</v>
      </c>
      <c r="Y16" s="166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63"/>
      <c r="AL16" s="155">
        <f>-SUM(BS17,SUM(BR17:BR46),O105,O110)</f>
        <v>0</v>
      </c>
      <c r="AM16" s="155">
        <f>AL16*BF16</f>
        <v>0</v>
      </c>
      <c r="AN16" s="163"/>
      <c r="AO16" s="148"/>
      <c r="AP16" s="149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67"/>
      <c r="BE16" s="31"/>
      <c r="BF16" s="105">
        <v>1</v>
      </c>
      <c r="BH16" s="148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149"/>
      <c r="BT16" s="149"/>
      <c r="BU16" s="149"/>
      <c r="BV16" s="149"/>
      <c r="BW16" s="150"/>
      <c r="BX16" s="151"/>
      <c r="BY16" s="270"/>
      <c r="CA16"/>
    </row>
    <row r="17" spans="1:79" ht="15.75" customHeight="1">
      <c r="C17" t="s">
        <v>93</v>
      </c>
      <c r="D17" t="s">
        <v>91</v>
      </c>
      <c r="F17" s="1">
        <v>0</v>
      </c>
      <c r="J17" s="113"/>
      <c r="V17" s="57">
        <f>IF(W17=1,DATE(YEAR($F$18)+(MONTH($F$18)&gt;=4),4,0),EOMONTH(V15,12))</f>
        <v>45747</v>
      </c>
      <c r="W17" s="6">
        <v>1</v>
      </c>
      <c r="X17" s="6" t="str">
        <f t="shared" ref="X17:X56" si="0">IF(W17&gt;$O$16,"-",IF($W17&lt;=$F$16,"整備期間","維持管理・運営期間"))</f>
        <v>整備期間</v>
      </c>
      <c r="Y17" s="158">
        <f t="shared" ref="Y17:Y56" si="1">IF($W17=$F$16,$O$61,0)</f>
        <v>0</v>
      </c>
      <c r="Z17" s="156">
        <f t="shared" ref="Z17:Z56" si="2">IF($W17=$F$16,$O$63,0)</f>
        <v>0</v>
      </c>
      <c r="AA17" s="156">
        <f t="shared" ref="AA17:AA56" si="3">IF($W17=$F$16,$O$62,0)</f>
        <v>0</v>
      </c>
      <c r="AB17" s="156">
        <f t="shared" ref="AB17:AB56" si="4">IF(X17="維持管理・運営期間",$F$56,0)</f>
        <v>0</v>
      </c>
      <c r="AC17" s="157">
        <f t="shared" ref="AC17:AC56" si="5">SUM(Y17:Z17,AB17)</f>
        <v>0</v>
      </c>
      <c r="AD17" s="158">
        <f t="shared" ref="AD17:AD56" si="6">IF($W17=$F$16,$O$30,0)</f>
        <v>0</v>
      </c>
      <c r="AE17" s="156">
        <f t="shared" ref="AE17:AE56" si="7">IF($X17="維持管理・運営期間",$O$41,0)</f>
        <v>0</v>
      </c>
      <c r="AF17" s="156">
        <f t="shared" ref="AF17:AF56" si="8">IF(AND($W17&gt;0,$W17&lt;=$O$16),$E$45,0)</f>
        <v>10</v>
      </c>
      <c r="AG17" s="156">
        <f>IF(AND(SUM($AA$16:AA16)&gt;0,SUM($AG$16:AG16)&lt;$O$62,$W17&gt;=$O$65),$O$64,0)</f>
        <v>0</v>
      </c>
      <c r="AH17" s="156">
        <f>IF(SUM($AA15:$AA$17)&gt;0,($O$62-SUM($AG15:$AG$17))*$F$65,0)</f>
        <v>0</v>
      </c>
      <c r="AI17" s="157">
        <f t="shared" ref="AI17:AI56" si="9">SUM(AD17:AF17)</f>
        <v>10</v>
      </c>
      <c r="AJ17" s="156">
        <f t="shared" ref="AJ17:AJ56" si="10">AC17-AI17</f>
        <v>-10</v>
      </c>
      <c r="AK17" s="159"/>
      <c r="AL17" s="160"/>
      <c r="AM17" s="157">
        <f t="shared" ref="AM17:AM56" si="11">AJ17*$BF17</f>
        <v>-9.6665055582406971</v>
      </c>
      <c r="AN17" s="161"/>
      <c r="AO17" s="158">
        <f t="shared" ref="AO17:AO56" si="12">IF($W17=$F$16,$P$61,0)</f>
        <v>0</v>
      </c>
      <c r="AP17" s="156">
        <f t="shared" ref="AP17:AP56" si="13">IF($W17=$F$16,$P$63,0)</f>
        <v>0</v>
      </c>
      <c r="AQ17" s="156">
        <f t="shared" ref="AQ17:AQ56" si="14">IF($W17=$F$16,$P$62,0)</f>
        <v>0</v>
      </c>
      <c r="AR17" s="156">
        <f t="shared" ref="AR17:AR56" si="15">IF($W17&lt;$O$16,IF(W17=$F$16,$U$92,$U$93),0)</f>
        <v>0</v>
      </c>
      <c r="AS17" s="157">
        <f t="shared" ref="AS17:AS56" si="16">SUM(AO17:AP17,AR17)</f>
        <v>0</v>
      </c>
      <c r="AT17" s="156">
        <f t="shared" ref="AT17:AT56" si="17">IF(W17=$F$16,$P$30,0)</f>
        <v>0</v>
      </c>
      <c r="AU17" s="156">
        <f t="shared" ref="AU17:AU56" si="18">IFERROR(-PPMT($P$36,W17-$F$16,$F$17,SUM(P$31,P$51)),0)</f>
        <v>0</v>
      </c>
      <c r="AV17" s="156">
        <f t="shared" ref="AV17:AV56" si="19">IFERROR(-IPMT($P$36,W17-$F$16,$F$17,SUM($P$31,$P$51)),0)</f>
        <v>0</v>
      </c>
      <c r="AW17" s="156">
        <f t="shared" ref="AW17:AW56" si="20">IF(AND(W17&gt;$F$16,W17&lt;=SUM($F$16:$F$17)),$P$43,0)</f>
        <v>0</v>
      </c>
      <c r="AX17" s="156">
        <f t="shared" ref="AX17:AX56" si="21">IF($W17=1,$F$44,0)+IF(AND($W17&gt;0,$W17&lt;=$O$16),$F$45,0)</f>
        <v>31</v>
      </c>
      <c r="AY17" s="156">
        <f t="shared" ref="AY17:AY56" si="22">IF(AND(W17&gt;$F$16,W17&lt;=SUM($F$16:$F$17)),$P$54,0)</f>
        <v>0</v>
      </c>
      <c r="AZ17" s="156">
        <f>IF(AND(SUM($AQ$16:AQ16)&gt;0,SUM($AZ$16:AZ16)&lt;$P$62,$W17&gt;=$P$65),$P$64,0)</f>
        <v>0</v>
      </c>
      <c r="BA17" s="156">
        <f>IF(SUM($AQ16:$AQ$17)&gt;0,($P$62-SUM($AZ16:$AZ$17))*$F$65,0)</f>
        <v>0</v>
      </c>
      <c r="BB17" s="157">
        <f t="shared" ref="BB17:BB56" si="23">SUM(AT17:AY17)</f>
        <v>31</v>
      </c>
      <c r="BC17" s="156">
        <f t="shared" ref="BC17:BC56" si="24">AS17-BB17</f>
        <v>-31</v>
      </c>
      <c r="BD17" s="157">
        <f t="shared" ref="BD17:BD56" si="25">BC17*$BF17</f>
        <v>-29.966167230546159</v>
      </c>
      <c r="BE17" s="48"/>
      <c r="BF17" s="46">
        <f>1/(1+$O$22)</f>
        <v>0.96665055582406967</v>
      </c>
      <c r="BH17" s="152">
        <f t="shared" ref="BH17:BH56" si="26">AT17</f>
        <v>0</v>
      </c>
      <c r="BI17" s="152">
        <f t="shared" ref="BI17:BI56" si="27">AU17</f>
        <v>0</v>
      </c>
      <c r="BJ17" s="153">
        <f t="shared" ref="BJ17:BJ56" si="28">AV17</f>
        <v>0</v>
      </c>
      <c r="BK17" s="153">
        <f t="shared" ref="BK17:BK56" si="29">AW17</f>
        <v>0</v>
      </c>
      <c r="BL17" s="153">
        <f t="shared" ref="BL17:BL56" si="30">AY17</f>
        <v>0</v>
      </c>
      <c r="BM17" s="153">
        <f t="shared" ref="BM17:BM56" si="31">IF($W17&gt;$F$16,$F$56,0)</f>
        <v>0</v>
      </c>
      <c r="BN17" s="154">
        <f t="shared" ref="BN17:BN56" si="32">SUM(BH17:BM17)</f>
        <v>0</v>
      </c>
      <c r="BO17" s="153">
        <f t="shared" ref="BO17:BO56" si="33">IF($W17=$F$16,$P$32,0)</f>
        <v>0</v>
      </c>
      <c r="BP17" s="153">
        <f t="shared" ref="BP17:BP56" si="34">IF(AND(W17&gt;$F$16,W17&lt;=SUM($F$16:$F$17)),$P$41,0)</f>
        <v>0</v>
      </c>
      <c r="BQ17" s="153">
        <f t="shared" ref="BQ17:BQ56" si="35">IFERROR(-IPMT($P$67,W17-$F$16,$F$17,SUM(P$31,P$51)),0)</f>
        <v>0</v>
      </c>
      <c r="BR17" s="153">
        <f t="shared" ref="BR17:BR56" si="36">IF($W17&lt;=$O$16,$F$105,0)</f>
        <v>0</v>
      </c>
      <c r="BS17" s="220">
        <f t="shared" ref="BS17:BS56" si="37">IF($W17=1,SUM($O$103,$O$105),0)</f>
        <v>0</v>
      </c>
      <c r="BT17" s="153">
        <f t="shared" ref="BT17:BT56" si="38">IF($W17&lt;$O$16,IF(W17=$F$16,$P$93,$P$94),0)</f>
        <v>0</v>
      </c>
      <c r="BU17" s="154">
        <f t="shared" ref="BU17:BU56" si="39">SUM(BO17:BP17,BR17:BT17)</f>
        <v>0</v>
      </c>
      <c r="BV17" s="154">
        <f t="shared" ref="BV17:BV56" si="40">BN17-BU17</f>
        <v>0</v>
      </c>
      <c r="BW17" s="150"/>
      <c r="BX17" s="155">
        <f t="shared" ref="BX17:BX56" si="41">IFERROR(-PPMT($P$67,$W17-$F$16,$F$17,SUM(P$31,P$51)),0)</f>
        <v>0</v>
      </c>
      <c r="BY17" s="271"/>
      <c r="CA17"/>
    </row>
    <row r="18" spans="1:79" ht="15.75" customHeight="1">
      <c r="C18" t="s">
        <v>94</v>
      </c>
      <c r="F18" s="67">
        <v>45383</v>
      </c>
      <c r="J18" s="113"/>
      <c r="V18" s="57">
        <f t="shared" ref="V18:V56" si="42">IF(W18=1,DATE(YEAR($F$18)+(MONTH($F$18)&gt;=4),4,0),EOMONTH(V17,12))</f>
        <v>46112</v>
      </c>
      <c r="W18" s="6">
        <v>2</v>
      </c>
      <c r="X18" s="6" t="str">
        <f t="shared" si="0"/>
        <v>整備期間</v>
      </c>
      <c r="Y18" s="158">
        <f t="shared" si="1"/>
        <v>0</v>
      </c>
      <c r="Z18" s="156">
        <f t="shared" si="2"/>
        <v>0</v>
      </c>
      <c r="AA18" s="156">
        <f t="shared" si="3"/>
        <v>0</v>
      </c>
      <c r="AB18" s="156">
        <f t="shared" si="4"/>
        <v>0</v>
      </c>
      <c r="AC18" s="157">
        <f t="shared" si="5"/>
        <v>0</v>
      </c>
      <c r="AD18" s="158">
        <f t="shared" si="6"/>
        <v>0</v>
      </c>
      <c r="AE18" s="156">
        <f t="shared" si="7"/>
        <v>0</v>
      </c>
      <c r="AF18" s="156">
        <f t="shared" si="8"/>
        <v>10</v>
      </c>
      <c r="AG18" s="156">
        <f>IF(AND(SUM($AA$16:AA17)&gt;0,SUM($AG$16:AG17)&lt;$O$62,$W18&gt;=$O$65),$O$64,0)</f>
        <v>0</v>
      </c>
      <c r="AH18" s="153">
        <f>IF(SUM($AA$17:$AA17)&gt;0,($O$62-SUM($AG$17:$AG17))*$F$65,0)</f>
        <v>0</v>
      </c>
      <c r="AI18" s="157">
        <f t="shared" si="9"/>
        <v>10</v>
      </c>
      <c r="AJ18" s="153">
        <f t="shared" si="10"/>
        <v>-10</v>
      </c>
      <c r="AK18" s="159"/>
      <c r="AL18" s="160"/>
      <c r="AM18" s="154">
        <f t="shared" si="11"/>
        <v>-9.3441329707498273</v>
      </c>
      <c r="AN18" s="161"/>
      <c r="AO18" s="152">
        <f t="shared" si="12"/>
        <v>0</v>
      </c>
      <c r="AP18" s="153">
        <f t="shared" si="13"/>
        <v>0</v>
      </c>
      <c r="AQ18" s="153">
        <f t="shared" si="14"/>
        <v>0</v>
      </c>
      <c r="AR18" s="156">
        <f t="shared" si="15"/>
        <v>0</v>
      </c>
      <c r="AS18" s="157">
        <f t="shared" si="16"/>
        <v>0</v>
      </c>
      <c r="AT18" s="156">
        <f t="shared" si="17"/>
        <v>0</v>
      </c>
      <c r="AU18" s="156">
        <f t="shared" si="18"/>
        <v>0</v>
      </c>
      <c r="AV18" s="156">
        <f t="shared" si="19"/>
        <v>0</v>
      </c>
      <c r="AW18" s="156">
        <f t="shared" si="20"/>
        <v>0</v>
      </c>
      <c r="AX18" s="156">
        <f t="shared" si="21"/>
        <v>6</v>
      </c>
      <c r="AY18" s="156">
        <f t="shared" si="22"/>
        <v>0</v>
      </c>
      <c r="AZ18" s="156">
        <f>IF(AND(SUM($AQ$16:AQ17)&gt;0,SUM($AZ$16:AZ17)&lt;$P$62,$W18&gt;=$P$65),$P$64,0)</f>
        <v>0</v>
      </c>
      <c r="BA18" s="156">
        <f>IF(SUM($AQ17:$AQ$17)&gt;0,($P$62-SUM($AZ17:$AZ$17))*$F$65,0)</f>
        <v>0</v>
      </c>
      <c r="BB18" s="157">
        <f t="shared" si="23"/>
        <v>6</v>
      </c>
      <c r="BC18" s="153">
        <f t="shared" si="24"/>
        <v>-6</v>
      </c>
      <c r="BD18" s="154">
        <f t="shared" si="25"/>
        <v>-5.6064797824498971</v>
      </c>
      <c r="BE18" s="48"/>
      <c r="BF18" s="46">
        <f t="shared" ref="BF18:BF56" si="43">BF17/(1+$O$22)</f>
        <v>0.93441329707498277</v>
      </c>
      <c r="BH18" s="152">
        <f t="shared" si="26"/>
        <v>0</v>
      </c>
      <c r="BI18" s="152">
        <f t="shared" si="27"/>
        <v>0</v>
      </c>
      <c r="BJ18" s="153">
        <f t="shared" si="28"/>
        <v>0</v>
      </c>
      <c r="BK18" s="153">
        <f t="shared" si="29"/>
        <v>0</v>
      </c>
      <c r="BL18" s="153">
        <f t="shared" si="30"/>
        <v>0</v>
      </c>
      <c r="BM18" s="153">
        <f t="shared" si="31"/>
        <v>0</v>
      </c>
      <c r="BN18" s="154">
        <f t="shared" si="32"/>
        <v>0</v>
      </c>
      <c r="BO18" s="153">
        <f t="shared" si="33"/>
        <v>0</v>
      </c>
      <c r="BP18" s="153">
        <f t="shared" si="34"/>
        <v>0</v>
      </c>
      <c r="BQ18" s="153">
        <f t="shared" si="35"/>
        <v>0</v>
      </c>
      <c r="BR18" s="153">
        <f t="shared" si="36"/>
        <v>0</v>
      </c>
      <c r="BS18" s="220">
        <f t="shared" si="37"/>
        <v>0</v>
      </c>
      <c r="BT18" s="153">
        <f t="shared" si="38"/>
        <v>0</v>
      </c>
      <c r="BU18" s="154">
        <f t="shared" si="39"/>
        <v>0</v>
      </c>
      <c r="BV18" s="154">
        <f t="shared" si="40"/>
        <v>0</v>
      </c>
      <c r="BW18" s="150"/>
      <c r="BX18" s="155">
        <f t="shared" si="41"/>
        <v>0</v>
      </c>
      <c r="BY18" s="272"/>
      <c r="CA18"/>
    </row>
    <row r="19" spans="1:79" ht="15.75" customHeight="1">
      <c r="C19" t="s">
        <v>95</v>
      </c>
      <c r="F19" s="134">
        <f>EOMONTH(F18,12*F16-1)</f>
        <v>46477</v>
      </c>
      <c r="J19" s="113"/>
      <c r="V19" s="57">
        <f t="shared" si="42"/>
        <v>46477</v>
      </c>
      <c r="W19" s="6">
        <v>3</v>
      </c>
      <c r="X19" s="6" t="str">
        <f t="shared" si="0"/>
        <v>整備期間</v>
      </c>
      <c r="Y19" s="158">
        <f t="shared" si="1"/>
        <v>1140</v>
      </c>
      <c r="Z19" s="156">
        <f t="shared" si="2"/>
        <v>384.75</v>
      </c>
      <c r="AA19" s="156">
        <f t="shared" si="3"/>
        <v>1282.5</v>
      </c>
      <c r="AB19" s="156">
        <f t="shared" si="4"/>
        <v>0</v>
      </c>
      <c r="AC19" s="157">
        <f t="shared" si="5"/>
        <v>1524.75</v>
      </c>
      <c r="AD19" s="158">
        <f t="shared" si="6"/>
        <v>2850</v>
      </c>
      <c r="AE19" s="156">
        <f t="shared" si="7"/>
        <v>0</v>
      </c>
      <c r="AF19" s="156">
        <f t="shared" si="8"/>
        <v>10</v>
      </c>
      <c r="AG19" s="156">
        <f>IF(AND(SUM($AA$16:AA18)&gt;0,SUM($AG$16:AG18)&lt;$O$62,$W19&gt;=$O$65),$O$64,0)</f>
        <v>0</v>
      </c>
      <c r="AH19" s="153">
        <f>IF(SUM($AA$17:$AA18)&gt;0,($O$62-SUM($AG$17:$AG18))*$F$65,0)</f>
        <v>0</v>
      </c>
      <c r="AI19" s="157">
        <f t="shared" si="9"/>
        <v>2860</v>
      </c>
      <c r="AJ19" s="153">
        <f t="shared" si="10"/>
        <v>-1335.25</v>
      </c>
      <c r="AK19" s="159"/>
      <c r="AL19" s="160"/>
      <c r="AM19" s="154">
        <f t="shared" si="11"/>
        <v>-1206.0660753208031</v>
      </c>
      <c r="AN19" s="161"/>
      <c r="AO19" s="152">
        <f t="shared" si="12"/>
        <v>1140</v>
      </c>
      <c r="AP19" s="153">
        <f t="shared" si="13"/>
        <v>384.75</v>
      </c>
      <c r="AQ19" s="153">
        <f t="shared" si="14"/>
        <v>1282.5</v>
      </c>
      <c r="AR19" s="156">
        <f t="shared" si="15"/>
        <v>0</v>
      </c>
      <c r="AS19" s="157">
        <f t="shared" si="16"/>
        <v>1524.75</v>
      </c>
      <c r="AT19" s="156">
        <f t="shared" si="17"/>
        <v>2850</v>
      </c>
      <c r="AU19" s="156">
        <f t="shared" si="18"/>
        <v>0</v>
      </c>
      <c r="AV19" s="156">
        <f t="shared" si="19"/>
        <v>0</v>
      </c>
      <c r="AW19" s="156">
        <f t="shared" si="20"/>
        <v>0</v>
      </c>
      <c r="AX19" s="156">
        <f t="shared" si="21"/>
        <v>6</v>
      </c>
      <c r="AY19" s="156">
        <f t="shared" si="22"/>
        <v>0</v>
      </c>
      <c r="AZ19" s="156">
        <f>IF(AND(SUM($AQ$16:AQ18)&gt;0,SUM($AZ$16:AZ18)&lt;$P$62,$W19&gt;=$P$65),$P$64,0)</f>
        <v>0</v>
      </c>
      <c r="BA19" s="156">
        <f>IF(SUM($AQ$17:$AQ18)&gt;0,($P$62-SUM($AZ$17:$AZ18))*$F$65,0)</f>
        <v>0</v>
      </c>
      <c r="BB19" s="157">
        <f t="shared" si="23"/>
        <v>2856</v>
      </c>
      <c r="BC19" s="153">
        <f t="shared" si="24"/>
        <v>-1331.25</v>
      </c>
      <c r="BD19" s="154">
        <f t="shared" si="25"/>
        <v>-1202.4530707888553</v>
      </c>
      <c r="BE19" s="48"/>
      <c r="BF19" s="46">
        <f t="shared" si="43"/>
        <v>0.9032511329869336</v>
      </c>
      <c r="BH19" s="152">
        <f t="shared" si="26"/>
        <v>2850</v>
      </c>
      <c r="BI19" s="152">
        <f t="shared" si="27"/>
        <v>0</v>
      </c>
      <c r="BJ19" s="153">
        <f t="shared" si="28"/>
        <v>0</v>
      </c>
      <c r="BK19" s="153">
        <f t="shared" si="29"/>
        <v>0</v>
      </c>
      <c r="BL19" s="153">
        <f t="shared" si="30"/>
        <v>0</v>
      </c>
      <c r="BM19" s="153">
        <f t="shared" si="31"/>
        <v>0</v>
      </c>
      <c r="BN19" s="154">
        <f t="shared" si="32"/>
        <v>2850</v>
      </c>
      <c r="BO19" s="153">
        <f t="shared" si="33"/>
        <v>2850</v>
      </c>
      <c r="BP19" s="153">
        <f t="shared" si="34"/>
        <v>0</v>
      </c>
      <c r="BQ19" s="153">
        <f t="shared" si="35"/>
        <v>0</v>
      </c>
      <c r="BR19" s="153">
        <f t="shared" si="36"/>
        <v>0</v>
      </c>
      <c r="BS19" s="220">
        <f t="shared" si="37"/>
        <v>0</v>
      </c>
      <c r="BT19" s="153">
        <f t="shared" si="38"/>
        <v>0</v>
      </c>
      <c r="BU19" s="154">
        <f t="shared" si="39"/>
        <v>2850</v>
      </c>
      <c r="BV19" s="154">
        <f t="shared" si="40"/>
        <v>0</v>
      </c>
      <c r="BW19" s="150"/>
      <c r="BX19" s="155">
        <f t="shared" si="41"/>
        <v>0</v>
      </c>
      <c r="BY19" s="272"/>
      <c r="CA19"/>
    </row>
    <row r="20" spans="1:79" ht="15.75" customHeight="1">
      <c r="C20" t="s">
        <v>96</v>
      </c>
      <c r="F20" s="134">
        <f>F19+1</f>
        <v>46478</v>
      </c>
      <c r="V20" s="57">
        <f t="shared" si="42"/>
        <v>46843</v>
      </c>
      <c r="W20" s="6">
        <v>4</v>
      </c>
      <c r="X20" s="6" t="str">
        <f t="shared" si="0"/>
        <v>-</v>
      </c>
      <c r="Y20" s="158">
        <f t="shared" si="1"/>
        <v>0</v>
      </c>
      <c r="Z20" s="156">
        <f t="shared" si="2"/>
        <v>0</v>
      </c>
      <c r="AA20" s="156">
        <f t="shared" si="3"/>
        <v>0</v>
      </c>
      <c r="AB20" s="156">
        <f t="shared" si="4"/>
        <v>0</v>
      </c>
      <c r="AC20" s="157">
        <f t="shared" si="5"/>
        <v>0</v>
      </c>
      <c r="AD20" s="158">
        <f t="shared" si="6"/>
        <v>0</v>
      </c>
      <c r="AE20" s="156">
        <f t="shared" si="7"/>
        <v>0</v>
      </c>
      <c r="AF20" s="156">
        <f t="shared" si="8"/>
        <v>0</v>
      </c>
      <c r="AG20" s="156">
        <f>IF(AND(SUM($AA$16:AA19)&gt;0,SUM($AG$16:AG19)&lt;$O$62,$W20&gt;=$O$65),$O$64,0)</f>
        <v>0</v>
      </c>
      <c r="AH20" s="153">
        <f>IF(SUM($AA$17:$AA19)&gt;0,($O$62-SUM($AG$17:$AG19))*$F$65,0)</f>
        <v>19.237500000000001</v>
      </c>
      <c r="AI20" s="157">
        <f t="shared" si="9"/>
        <v>0</v>
      </c>
      <c r="AJ20" s="153">
        <f t="shared" si="10"/>
        <v>0</v>
      </c>
      <c r="AK20" s="155">
        <f>(SUM($P$31,$P$51)-SUM($AU$17:AU19))*$O$109</f>
        <v>0</v>
      </c>
      <c r="AL20" s="160"/>
      <c r="AM20" s="154">
        <f t="shared" si="11"/>
        <v>0</v>
      </c>
      <c r="AN20" s="161"/>
      <c r="AO20" s="152">
        <f t="shared" si="12"/>
        <v>0</v>
      </c>
      <c r="AP20" s="153">
        <f t="shared" si="13"/>
        <v>0</v>
      </c>
      <c r="AQ20" s="153">
        <f t="shared" si="14"/>
        <v>0</v>
      </c>
      <c r="AR20" s="156">
        <f t="shared" si="15"/>
        <v>0</v>
      </c>
      <c r="AS20" s="157">
        <f t="shared" si="16"/>
        <v>0</v>
      </c>
      <c r="AT20" s="156">
        <f t="shared" si="17"/>
        <v>0</v>
      </c>
      <c r="AU20" s="156">
        <f t="shared" si="18"/>
        <v>0</v>
      </c>
      <c r="AV20" s="156">
        <f t="shared" si="19"/>
        <v>0</v>
      </c>
      <c r="AW20" s="156">
        <f t="shared" si="20"/>
        <v>0</v>
      </c>
      <c r="AX20" s="156">
        <f t="shared" si="21"/>
        <v>0</v>
      </c>
      <c r="AY20" s="156">
        <f t="shared" si="22"/>
        <v>0</v>
      </c>
      <c r="AZ20" s="156">
        <f>IF(AND(SUM($AQ$16:AQ19)&gt;0,SUM($AZ$16:AZ19)&lt;$P$62,$W20&gt;=$P$65),$P$64,0)</f>
        <v>0</v>
      </c>
      <c r="BA20" s="156">
        <f>IF(SUM($AQ$17:$AQ19)&gt;0,($P$62-SUM($AZ$17:$AZ19))*$F$65,0)</f>
        <v>19.237500000000001</v>
      </c>
      <c r="BB20" s="157">
        <f t="shared" si="23"/>
        <v>0</v>
      </c>
      <c r="BC20" s="153">
        <f t="shared" si="24"/>
        <v>0</v>
      </c>
      <c r="BD20" s="154">
        <f t="shared" si="25"/>
        <v>0</v>
      </c>
      <c r="BE20" s="48"/>
      <c r="BF20" s="46">
        <f t="shared" si="43"/>
        <v>0.87312820975053995</v>
      </c>
      <c r="BH20" s="152">
        <f t="shared" si="26"/>
        <v>0</v>
      </c>
      <c r="BI20" s="152">
        <f t="shared" si="27"/>
        <v>0</v>
      </c>
      <c r="BJ20" s="153">
        <f t="shared" si="28"/>
        <v>0</v>
      </c>
      <c r="BK20" s="153">
        <f t="shared" si="29"/>
        <v>0</v>
      </c>
      <c r="BL20" s="153">
        <f t="shared" si="30"/>
        <v>0</v>
      </c>
      <c r="BM20" s="153">
        <f t="shared" si="31"/>
        <v>0</v>
      </c>
      <c r="BN20" s="154">
        <f t="shared" si="32"/>
        <v>0</v>
      </c>
      <c r="BO20" s="153">
        <f t="shared" si="33"/>
        <v>0</v>
      </c>
      <c r="BP20" s="153">
        <f t="shared" si="34"/>
        <v>0</v>
      </c>
      <c r="BQ20" s="153">
        <f t="shared" si="35"/>
        <v>0</v>
      </c>
      <c r="BR20" s="153">
        <f t="shared" si="36"/>
        <v>0</v>
      </c>
      <c r="BS20" s="220">
        <f t="shared" si="37"/>
        <v>0</v>
      </c>
      <c r="BT20" s="153">
        <f t="shared" si="38"/>
        <v>0</v>
      </c>
      <c r="BU20" s="154">
        <f t="shared" si="39"/>
        <v>0</v>
      </c>
      <c r="BV20" s="154">
        <f t="shared" si="40"/>
        <v>0</v>
      </c>
      <c r="BW20" s="150"/>
      <c r="BX20" s="155">
        <f t="shared" si="41"/>
        <v>0</v>
      </c>
      <c r="BY20" s="273">
        <f t="shared" ref="BY20:BY56" si="44">IF(BV20-BX20&gt;=0,0,1)</f>
        <v>0</v>
      </c>
      <c r="CA20"/>
    </row>
    <row r="21" spans="1:79" ht="15.75" customHeight="1">
      <c r="C21" t="s">
        <v>97</v>
      </c>
      <c r="F21" s="134">
        <f>EOMONTH(F20,12*F17-1)</f>
        <v>46477</v>
      </c>
      <c r="V21" s="57">
        <f t="shared" si="42"/>
        <v>47208</v>
      </c>
      <c r="W21" s="6">
        <v>5</v>
      </c>
      <c r="X21" s="6" t="str">
        <f t="shared" si="0"/>
        <v>-</v>
      </c>
      <c r="Y21" s="158">
        <f t="shared" si="1"/>
        <v>0</v>
      </c>
      <c r="Z21" s="156">
        <f t="shared" si="2"/>
        <v>0</v>
      </c>
      <c r="AA21" s="156">
        <f t="shared" si="3"/>
        <v>0</v>
      </c>
      <c r="AB21" s="156">
        <f t="shared" si="4"/>
        <v>0</v>
      </c>
      <c r="AC21" s="157">
        <f t="shared" si="5"/>
        <v>0</v>
      </c>
      <c r="AD21" s="158">
        <f t="shared" si="6"/>
        <v>0</v>
      </c>
      <c r="AE21" s="156">
        <f t="shared" si="7"/>
        <v>0</v>
      </c>
      <c r="AF21" s="156">
        <f t="shared" si="8"/>
        <v>0</v>
      </c>
      <c r="AG21" s="156">
        <f>IF(AND(SUM($AA$16:AA20)&gt;0,SUM($AG$16:AG20)&lt;$O$62,$W21&gt;=$O$65),$O$64,0)</f>
        <v>0</v>
      </c>
      <c r="AH21" s="153">
        <f>IF(SUM($AA$17:$AA20)&gt;0,($O$62-SUM($AG$17:$AG20))*$F$65,0)</f>
        <v>19.237500000000001</v>
      </c>
      <c r="AI21" s="157">
        <f t="shared" si="9"/>
        <v>0</v>
      </c>
      <c r="AJ21" s="153">
        <f t="shared" si="10"/>
        <v>0</v>
      </c>
      <c r="AK21" s="155">
        <f>(SUM($P$31,$P$51)-SUM($AU$17:AU20))*$O$109</f>
        <v>0</v>
      </c>
      <c r="AL21" s="160"/>
      <c r="AM21" s="154">
        <f t="shared" si="11"/>
        <v>0</v>
      </c>
      <c r="AN21" s="161"/>
      <c r="AO21" s="152">
        <f t="shared" si="12"/>
        <v>0</v>
      </c>
      <c r="AP21" s="153">
        <f t="shared" si="13"/>
        <v>0</v>
      </c>
      <c r="AQ21" s="153">
        <f t="shared" si="14"/>
        <v>0</v>
      </c>
      <c r="AR21" s="156">
        <f t="shared" si="15"/>
        <v>0</v>
      </c>
      <c r="AS21" s="157">
        <f t="shared" si="16"/>
        <v>0</v>
      </c>
      <c r="AT21" s="156">
        <f t="shared" si="17"/>
        <v>0</v>
      </c>
      <c r="AU21" s="156">
        <f t="shared" si="18"/>
        <v>0</v>
      </c>
      <c r="AV21" s="156">
        <f t="shared" si="19"/>
        <v>0</v>
      </c>
      <c r="AW21" s="156">
        <f t="shared" si="20"/>
        <v>0</v>
      </c>
      <c r="AX21" s="156">
        <f t="shared" si="21"/>
        <v>0</v>
      </c>
      <c r="AY21" s="156">
        <f t="shared" si="22"/>
        <v>0</v>
      </c>
      <c r="AZ21" s="156">
        <f>IF(AND(SUM($AQ$16:AQ20)&gt;0,SUM($AZ$16:AZ20)&lt;$P$62,$W21&gt;=$P$65),$P$64,0)</f>
        <v>0</v>
      </c>
      <c r="BA21" s="156">
        <f>IF(SUM($AQ$17:$AQ20)&gt;0,($P$62-SUM($AZ$17:$AZ20))*$F$65,0)</f>
        <v>19.237500000000001</v>
      </c>
      <c r="BB21" s="157">
        <f t="shared" si="23"/>
        <v>0</v>
      </c>
      <c r="BC21" s="153">
        <f t="shared" si="24"/>
        <v>0</v>
      </c>
      <c r="BD21" s="154">
        <f t="shared" si="25"/>
        <v>0</v>
      </c>
      <c r="BE21" s="48"/>
      <c r="BF21" s="46">
        <f t="shared" si="43"/>
        <v>0.84400986926103427</v>
      </c>
      <c r="BH21" s="152">
        <f t="shared" si="26"/>
        <v>0</v>
      </c>
      <c r="BI21" s="152">
        <f t="shared" si="27"/>
        <v>0</v>
      </c>
      <c r="BJ21" s="153">
        <f t="shared" si="28"/>
        <v>0</v>
      </c>
      <c r="BK21" s="153">
        <f t="shared" si="29"/>
        <v>0</v>
      </c>
      <c r="BL21" s="153">
        <f t="shared" si="30"/>
        <v>0</v>
      </c>
      <c r="BM21" s="153">
        <f t="shared" si="31"/>
        <v>0</v>
      </c>
      <c r="BN21" s="154">
        <f t="shared" si="32"/>
        <v>0</v>
      </c>
      <c r="BO21" s="153">
        <f t="shared" si="33"/>
        <v>0</v>
      </c>
      <c r="BP21" s="153">
        <f t="shared" si="34"/>
        <v>0</v>
      </c>
      <c r="BQ21" s="153">
        <f t="shared" si="35"/>
        <v>0</v>
      </c>
      <c r="BR21" s="153">
        <f t="shared" si="36"/>
        <v>0</v>
      </c>
      <c r="BS21" s="220">
        <f t="shared" si="37"/>
        <v>0</v>
      </c>
      <c r="BT21" s="153">
        <f t="shared" si="38"/>
        <v>0</v>
      </c>
      <c r="BU21" s="154">
        <f t="shared" si="39"/>
        <v>0</v>
      </c>
      <c r="BV21" s="154">
        <f t="shared" si="40"/>
        <v>0</v>
      </c>
      <c r="BW21" s="150"/>
      <c r="BX21" s="155">
        <f t="shared" si="41"/>
        <v>0</v>
      </c>
      <c r="BY21" s="273">
        <f t="shared" si="44"/>
        <v>0</v>
      </c>
      <c r="CA21"/>
    </row>
    <row r="22" spans="1:79" ht="15.75" customHeight="1">
      <c r="B22" s="55" t="s">
        <v>98</v>
      </c>
      <c r="C22" s="19"/>
      <c r="I22" s="71"/>
      <c r="J22" s="4" t="s">
        <v>98</v>
      </c>
      <c r="N22" s="19" t="s">
        <v>38</v>
      </c>
      <c r="O22" s="36">
        <f>SUM(F23:F24)</f>
        <v>3.4499999999999996E-2</v>
      </c>
      <c r="V22" s="57">
        <f t="shared" si="42"/>
        <v>47573</v>
      </c>
      <c r="W22" s="6">
        <v>6</v>
      </c>
      <c r="X22" s="6" t="str">
        <f t="shared" si="0"/>
        <v>-</v>
      </c>
      <c r="Y22" s="158">
        <f t="shared" si="1"/>
        <v>0</v>
      </c>
      <c r="Z22" s="156">
        <f t="shared" si="2"/>
        <v>0</v>
      </c>
      <c r="AA22" s="156">
        <f t="shared" si="3"/>
        <v>0</v>
      </c>
      <c r="AB22" s="156">
        <f t="shared" si="4"/>
        <v>0</v>
      </c>
      <c r="AC22" s="157">
        <f t="shared" si="5"/>
        <v>0</v>
      </c>
      <c r="AD22" s="158">
        <f t="shared" si="6"/>
        <v>0</v>
      </c>
      <c r="AE22" s="156">
        <f t="shared" si="7"/>
        <v>0</v>
      </c>
      <c r="AF22" s="156">
        <f t="shared" si="8"/>
        <v>0</v>
      </c>
      <c r="AG22" s="156">
        <f>IF(AND(SUM($AA$16:AA21)&gt;0,SUM($AG$16:AG21)&lt;$O$62,$W22&gt;=$O$65),$O$64,0)</f>
        <v>0</v>
      </c>
      <c r="AH22" s="153">
        <f>IF(SUM($AA$17:$AA21)&gt;0,($O$62-SUM($AG$17:$AG21))*$F$65,0)</f>
        <v>19.237500000000001</v>
      </c>
      <c r="AI22" s="157">
        <f t="shared" si="9"/>
        <v>0</v>
      </c>
      <c r="AJ22" s="153">
        <f t="shared" si="10"/>
        <v>0</v>
      </c>
      <c r="AK22" s="155">
        <f>(SUM($P$31,$P$51)-SUM($AU$17:AU21))*$O$109</f>
        <v>0</v>
      </c>
      <c r="AL22" s="160"/>
      <c r="AM22" s="154">
        <f t="shared" si="11"/>
        <v>0</v>
      </c>
      <c r="AN22" s="161"/>
      <c r="AO22" s="152">
        <f t="shared" si="12"/>
        <v>0</v>
      </c>
      <c r="AP22" s="153">
        <f t="shared" si="13"/>
        <v>0</v>
      </c>
      <c r="AQ22" s="153">
        <f t="shared" si="14"/>
        <v>0</v>
      </c>
      <c r="AR22" s="156">
        <f t="shared" si="15"/>
        <v>0</v>
      </c>
      <c r="AS22" s="157">
        <f t="shared" si="16"/>
        <v>0</v>
      </c>
      <c r="AT22" s="156">
        <f t="shared" si="17"/>
        <v>0</v>
      </c>
      <c r="AU22" s="156">
        <f t="shared" si="18"/>
        <v>0</v>
      </c>
      <c r="AV22" s="156">
        <f t="shared" si="19"/>
        <v>0</v>
      </c>
      <c r="AW22" s="156">
        <f t="shared" si="20"/>
        <v>0</v>
      </c>
      <c r="AX22" s="156">
        <f t="shared" si="21"/>
        <v>0</v>
      </c>
      <c r="AY22" s="156">
        <f t="shared" si="22"/>
        <v>0</v>
      </c>
      <c r="AZ22" s="156">
        <f>IF(AND(SUM($AQ$16:AQ21)&gt;0,SUM($AZ$16:AZ21)&lt;$P$62,$W22&gt;=$P$65),$P$64,0)</f>
        <v>0</v>
      </c>
      <c r="BA22" s="156">
        <f>IF(SUM($AQ$17:$AQ21)&gt;0,($P$62-SUM($AZ$17:$AZ21))*$F$65,0)</f>
        <v>19.237500000000001</v>
      </c>
      <c r="BB22" s="157">
        <f t="shared" si="23"/>
        <v>0</v>
      </c>
      <c r="BC22" s="153">
        <f t="shared" si="24"/>
        <v>0</v>
      </c>
      <c r="BD22" s="154">
        <f t="shared" si="25"/>
        <v>0</v>
      </c>
      <c r="BE22" s="48"/>
      <c r="BF22" s="46">
        <f t="shared" si="43"/>
        <v>0.81586260924217913</v>
      </c>
      <c r="BH22" s="152">
        <f t="shared" si="26"/>
        <v>0</v>
      </c>
      <c r="BI22" s="152">
        <f t="shared" si="27"/>
        <v>0</v>
      </c>
      <c r="BJ22" s="153">
        <f t="shared" si="28"/>
        <v>0</v>
      </c>
      <c r="BK22" s="153">
        <f t="shared" si="29"/>
        <v>0</v>
      </c>
      <c r="BL22" s="153">
        <f t="shared" si="30"/>
        <v>0</v>
      </c>
      <c r="BM22" s="153">
        <f t="shared" si="31"/>
        <v>0</v>
      </c>
      <c r="BN22" s="154">
        <f t="shared" si="32"/>
        <v>0</v>
      </c>
      <c r="BO22" s="153">
        <f t="shared" si="33"/>
        <v>0</v>
      </c>
      <c r="BP22" s="153">
        <f t="shared" si="34"/>
        <v>0</v>
      </c>
      <c r="BQ22" s="153">
        <f t="shared" si="35"/>
        <v>0</v>
      </c>
      <c r="BR22" s="153">
        <f t="shared" si="36"/>
        <v>0</v>
      </c>
      <c r="BS22" s="220">
        <f t="shared" si="37"/>
        <v>0</v>
      </c>
      <c r="BT22" s="153">
        <f t="shared" si="38"/>
        <v>0</v>
      </c>
      <c r="BU22" s="154">
        <f t="shared" si="39"/>
        <v>0</v>
      </c>
      <c r="BV22" s="154">
        <f t="shared" si="40"/>
        <v>0</v>
      </c>
      <c r="BW22" s="150"/>
      <c r="BX22" s="155">
        <f t="shared" si="41"/>
        <v>0</v>
      </c>
      <c r="BY22" s="273">
        <f t="shared" si="44"/>
        <v>0</v>
      </c>
      <c r="CA22"/>
    </row>
    <row r="23" spans="1:79" ht="15.75" customHeight="1">
      <c r="C23" t="s">
        <v>99</v>
      </c>
      <c r="F23" s="15">
        <v>1.4500000000000001E-2</v>
      </c>
      <c r="H23" t="s">
        <v>100</v>
      </c>
      <c r="V23" s="57">
        <f t="shared" si="42"/>
        <v>47938</v>
      </c>
      <c r="W23" s="6">
        <v>7</v>
      </c>
      <c r="X23" s="6" t="str">
        <f t="shared" si="0"/>
        <v>-</v>
      </c>
      <c r="Y23" s="158">
        <f t="shared" si="1"/>
        <v>0</v>
      </c>
      <c r="Z23" s="156">
        <f t="shared" si="2"/>
        <v>0</v>
      </c>
      <c r="AA23" s="156">
        <f t="shared" si="3"/>
        <v>0</v>
      </c>
      <c r="AB23" s="156">
        <f t="shared" si="4"/>
        <v>0</v>
      </c>
      <c r="AC23" s="157">
        <f t="shared" si="5"/>
        <v>0</v>
      </c>
      <c r="AD23" s="158">
        <f t="shared" si="6"/>
        <v>0</v>
      </c>
      <c r="AE23" s="156">
        <f t="shared" si="7"/>
        <v>0</v>
      </c>
      <c r="AF23" s="156">
        <f t="shared" si="8"/>
        <v>0</v>
      </c>
      <c r="AG23" s="156">
        <f>IF(AND(SUM($AA$16:AA22)&gt;0,SUM($AG$16:AG22)&lt;$O$62,$W23&gt;=$O$65),$O$64,0)</f>
        <v>64.125</v>
      </c>
      <c r="AH23" s="153">
        <f>IF(SUM($AA$17:$AA22)&gt;0,($O$62-SUM($AG$17:$AG22))*$F$65,0)</f>
        <v>19.237500000000001</v>
      </c>
      <c r="AI23" s="157">
        <f t="shared" si="9"/>
        <v>0</v>
      </c>
      <c r="AJ23" s="153">
        <f t="shared" si="10"/>
        <v>0</v>
      </c>
      <c r="AK23" s="155">
        <f>(SUM($P$31,$P$51)-SUM($AU$17:AU22))*$O$109</f>
        <v>0</v>
      </c>
      <c r="AL23" s="160"/>
      <c r="AM23" s="154">
        <f t="shared" si="11"/>
        <v>0</v>
      </c>
      <c r="AN23" s="161"/>
      <c r="AO23" s="152">
        <f t="shared" si="12"/>
        <v>0</v>
      </c>
      <c r="AP23" s="153">
        <f t="shared" si="13"/>
        <v>0</v>
      </c>
      <c r="AQ23" s="153">
        <f t="shared" si="14"/>
        <v>0</v>
      </c>
      <c r="AR23" s="156">
        <f t="shared" si="15"/>
        <v>0</v>
      </c>
      <c r="AS23" s="157">
        <f t="shared" si="16"/>
        <v>0</v>
      </c>
      <c r="AT23" s="156">
        <f t="shared" si="17"/>
        <v>0</v>
      </c>
      <c r="AU23" s="156">
        <f t="shared" si="18"/>
        <v>0</v>
      </c>
      <c r="AV23" s="156">
        <f t="shared" si="19"/>
        <v>0</v>
      </c>
      <c r="AW23" s="156">
        <f t="shared" si="20"/>
        <v>0</v>
      </c>
      <c r="AX23" s="156">
        <f t="shared" si="21"/>
        <v>0</v>
      </c>
      <c r="AY23" s="156">
        <f t="shared" si="22"/>
        <v>0</v>
      </c>
      <c r="AZ23" s="156">
        <f>IF(AND(SUM($AQ$16:AQ22)&gt;0,SUM($AZ$16:AZ22)&lt;$P$62,$W23&gt;=$P$65),$P$64,0)</f>
        <v>64.125</v>
      </c>
      <c r="BA23" s="156">
        <f>IF(SUM($AQ$17:$AQ22)&gt;0,($P$62-SUM($AZ$17:$AZ22))*$F$65,0)</f>
        <v>19.237500000000001</v>
      </c>
      <c r="BB23" s="157">
        <f t="shared" si="23"/>
        <v>0</v>
      </c>
      <c r="BC23" s="153">
        <f t="shared" si="24"/>
        <v>0</v>
      </c>
      <c r="BD23" s="154">
        <f t="shared" si="25"/>
        <v>0</v>
      </c>
      <c r="BE23" s="48"/>
      <c r="BF23" s="46">
        <f t="shared" si="43"/>
        <v>0.7886540447000282</v>
      </c>
      <c r="BH23" s="152">
        <f t="shared" si="26"/>
        <v>0</v>
      </c>
      <c r="BI23" s="152">
        <f t="shared" si="27"/>
        <v>0</v>
      </c>
      <c r="BJ23" s="153">
        <f t="shared" si="28"/>
        <v>0</v>
      </c>
      <c r="BK23" s="153">
        <f t="shared" si="29"/>
        <v>0</v>
      </c>
      <c r="BL23" s="153">
        <f t="shared" si="30"/>
        <v>0</v>
      </c>
      <c r="BM23" s="153">
        <f t="shared" si="31"/>
        <v>0</v>
      </c>
      <c r="BN23" s="154">
        <f t="shared" si="32"/>
        <v>0</v>
      </c>
      <c r="BO23" s="153">
        <f t="shared" si="33"/>
        <v>0</v>
      </c>
      <c r="BP23" s="153">
        <f t="shared" si="34"/>
        <v>0</v>
      </c>
      <c r="BQ23" s="153">
        <f t="shared" si="35"/>
        <v>0</v>
      </c>
      <c r="BR23" s="153">
        <f t="shared" si="36"/>
        <v>0</v>
      </c>
      <c r="BS23" s="220">
        <f t="shared" si="37"/>
        <v>0</v>
      </c>
      <c r="BT23" s="153">
        <f t="shared" si="38"/>
        <v>0</v>
      </c>
      <c r="BU23" s="154">
        <f t="shared" si="39"/>
        <v>0</v>
      </c>
      <c r="BV23" s="154">
        <f t="shared" si="40"/>
        <v>0</v>
      </c>
      <c r="BW23" s="150"/>
      <c r="BX23" s="155">
        <f t="shared" si="41"/>
        <v>0</v>
      </c>
      <c r="BY23" s="273">
        <f t="shared" si="44"/>
        <v>0</v>
      </c>
      <c r="CA23"/>
    </row>
    <row r="24" spans="1:79" ht="15.75" customHeight="1">
      <c r="C24" t="s">
        <v>5</v>
      </c>
      <c r="F24" s="193">
        <f>事業費用概算!J34</f>
        <v>1.9999999999999997E-2</v>
      </c>
      <c r="V24" s="57">
        <f t="shared" si="42"/>
        <v>48304</v>
      </c>
      <c r="W24" s="6">
        <v>8</v>
      </c>
      <c r="X24" s="6" t="str">
        <f t="shared" si="0"/>
        <v>-</v>
      </c>
      <c r="Y24" s="158">
        <f t="shared" si="1"/>
        <v>0</v>
      </c>
      <c r="Z24" s="156">
        <f t="shared" si="2"/>
        <v>0</v>
      </c>
      <c r="AA24" s="156">
        <f t="shared" si="3"/>
        <v>0</v>
      </c>
      <c r="AB24" s="156">
        <f t="shared" si="4"/>
        <v>0</v>
      </c>
      <c r="AC24" s="157">
        <f t="shared" si="5"/>
        <v>0</v>
      </c>
      <c r="AD24" s="158">
        <f t="shared" si="6"/>
        <v>0</v>
      </c>
      <c r="AE24" s="156">
        <f t="shared" si="7"/>
        <v>0</v>
      </c>
      <c r="AF24" s="156">
        <f t="shared" si="8"/>
        <v>0</v>
      </c>
      <c r="AG24" s="156">
        <f>IF(AND(SUM($AA$16:AA23)&gt;0,SUM($AG$16:AG23)&lt;$O$62,$W24&gt;=$O$65),$O$64,0)</f>
        <v>64.125</v>
      </c>
      <c r="AH24" s="153">
        <f>IF(SUM($AA$17:$AA23)&gt;0,($O$62-SUM($AG$17:$AG23))*$F$65,0)</f>
        <v>18.275624999999998</v>
      </c>
      <c r="AI24" s="157">
        <f t="shared" si="9"/>
        <v>0</v>
      </c>
      <c r="AJ24" s="153">
        <f t="shared" si="10"/>
        <v>0</v>
      </c>
      <c r="AK24" s="155">
        <f>(SUM($P$31,$P$51)-SUM($AU$17:AU23))*$O$109</f>
        <v>0</v>
      </c>
      <c r="AL24" s="160"/>
      <c r="AM24" s="154">
        <f t="shared" si="11"/>
        <v>0</v>
      </c>
      <c r="AN24" s="161"/>
      <c r="AO24" s="152">
        <f t="shared" si="12"/>
        <v>0</v>
      </c>
      <c r="AP24" s="153">
        <f t="shared" si="13"/>
        <v>0</v>
      </c>
      <c r="AQ24" s="153">
        <f t="shared" si="14"/>
        <v>0</v>
      </c>
      <c r="AR24" s="156">
        <f t="shared" si="15"/>
        <v>0</v>
      </c>
      <c r="AS24" s="157">
        <f t="shared" si="16"/>
        <v>0</v>
      </c>
      <c r="AT24" s="156">
        <f t="shared" si="17"/>
        <v>0</v>
      </c>
      <c r="AU24" s="156">
        <f t="shared" si="18"/>
        <v>0</v>
      </c>
      <c r="AV24" s="156">
        <f t="shared" si="19"/>
        <v>0</v>
      </c>
      <c r="AW24" s="156">
        <f t="shared" si="20"/>
        <v>0</v>
      </c>
      <c r="AX24" s="156">
        <f t="shared" si="21"/>
        <v>0</v>
      </c>
      <c r="AY24" s="156">
        <f t="shared" si="22"/>
        <v>0</v>
      </c>
      <c r="AZ24" s="156">
        <f>IF(AND(SUM($AQ$16:AQ23)&gt;0,SUM($AZ$16:AZ23)&lt;$P$62,$W24&gt;=$P$65),$P$64,0)</f>
        <v>64.125</v>
      </c>
      <c r="BA24" s="156">
        <f>IF(SUM($AQ$17:$AQ23)&gt;0,($P$62-SUM($AZ$17:$AZ23))*$F$65,0)</f>
        <v>18.275624999999998</v>
      </c>
      <c r="BB24" s="157">
        <f t="shared" si="23"/>
        <v>0</v>
      </c>
      <c r="BC24" s="153">
        <f t="shared" si="24"/>
        <v>0</v>
      </c>
      <c r="BD24" s="154">
        <f t="shared" si="25"/>
        <v>0</v>
      </c>
      <c r="BE24" s="48"/>
      <c r="BF24" s="46">
        <f t="shared" si="43"/>
        <v>0.76235287066218294</v>
      </c>
      <c r="BH24" s="152">
        <f t="shared" si="26"/>
        <v>0</v>
      </c>
      <c r="BI24" s="152">
        <f t="shared" si="27"/>
        <v>0</v>
      </c>
      <c r="BJ24" s="153">
        <f t="shared" si="28"/>
        <v>0</v>
      </c>
      <c r="BK24" s="153">
        <f t="shared" si="29"/>
        <v>0</v>
      </c>
      <c r="BL24" s="153">
        <f t="shared" si="30"/>
        <v>0</v>
      </c>
      <c r="BM24" s="153">
        <f t="shared" si="31"/>
        <v>0</v>
      </c>
      <c r="BN24" s="154">
        <f t="shared" si="32"/>
        <v>0</v>
      </c>
      <c r="BO24" s="153">
        <f t="shared" si="33"/>
        <v>0</v>
      </c>
      <c r="BP24" s="153">
        <f t="shared" si="34"/>
        <v>0</v>
      </c>
      <c r="BQ24" s="153">
        <f t="shared" si="35"/>
        <v>0</v>
      </c>
      <c r="BR24" s="153">
        <f t="shared" si="36"/>
        <v>0</v>
      </c>
      <c r="BS24" s="220">
        <f t="shared" si="37"/>
        <v>0</v>
      </c>
      <c r="BT24" s="153">
        <f t="shared" si="38"/>
        <v>0</v>
      </c>
      <c r="BU24" s="154">
        <f t="shared" si="39"/>
        <v>0</v>
      </c>
      <c r="BV24" s="154">
        <f t="shared" si="40"/>
        <v>0</v>
      </c>
      <c r="BW24" s="150"/>
      <c r="BX24" s="155">
        <f t="shared" si="41"/>
        <v>0</v>
      </c>
      <c r="BY24" s="273">
        <f t="shared" si="44"/>
        <v>0</v>
      </c>
      <c r="CA24"/>
    </row>
    <row r="25" spans="1:79" ht="15.75" customHeight="1">
      <c r="V25" s="57">
        <f t="shared" si="42"/>
        <v>48669</v>
      </c>
      <c r="W25" s="6">
        <v>9</v>
      </c>
      <c r="X25" s="6" t="str">
        <f t="shared" si="0"/>
        <v>-</v>
      </c>
      <c r="Y25" s="158">
        <f t="shared" si="1"/>
        <v>0</v>
      </c>
      <c r="Z25" s="156">
        <f t="shared" si="2"/>
        <v>0</v>
      </c>
      <c r="AA25" s="156">
        <f t="shared" si="3"/>
        <v>0</v>
      </c>
      <c r="AB25" s="156">
        <f t="shared" si="4"/>
        <v>0</v>
      </c>
      <c r="AC25" s="157">
        <f t="shared" si="5"/>
        <v>0</v>
      </c>
      <c r="AD25" s="158">
        <f t="shared" si="6"/>
        <v>0</v>
      </c>
      <c r="AE25" s="156">
        <f t="shared" si="7"/>
        <v>0</v>
      </c>
      <c r="AF25" s="156">
        <f t="shared" si="8"/>
        <v>0</v>
      </c>
      <c r="AG25" s="156">
        <f>IF(AND(SUM($AA$16:AA24)&gt;0,SUM($AG$16:AG24)&lt;$O$62,$W25&gt;=$O$65),$O$64,0)</f>
        <v>64.125</v>
      </c>
      <c r="AH25" s="153">
        <f>IF(SUM($AA$17:$AA24)&gt;0,($O$62-SUM($AG$17:$AG24))*$F$65,0)</f>
        <v>17.313749999999999</v>
      </c>
      <c r="AI25" s="157">
        <f t="shared" si="9"/>
        <v>0</v>
      </c>
      <c r="AJ25" s="153">
        <f t="shared" si="10"/>
        <v>0</v>
      </c>
      <c r="AK25" s="155">
        <f>(SUM($P$31,$P$51)-SUM($AU$17:AU24))*$O$109</f>
        <v>0</v>
      </c>
      <c r="AL25" s="160"/>
      <c r="AM25" s="154">
        <f t="shared" si="11"/>
        <v>0</v>
      </c>
      <c r="AN25" s="161"/>
      <c r="AO25" s="152">
        <f t="shared" si="12"/>
        <v>0</v>
      </c>
      <c r="AP25" s="153">
        <f t="shared" si="13"/>
        <v>0</v>
      </c>
      <c r="AQ25" s="153">
        <f t="shared" si="14"/>
        <v>0</v>
      </c>
      <c r="AR25" s="156">
        <f t="shared" si="15"/>
        <v>0</v>
      </c>
      <c r="AS25" s="157">
        <f t="shared" si="16"/>
        <v>0</v>
      </c>
      <c r="AT25" s="156">
        <f t="shared" si="17"/>
        <v>0</v>
      </c>
      <c r="AU25" s="156">
        <f t="shared" si="18"/>
        <v>0</v>
      </c>
      <c r="AV25" s="156">
        <f t="shared" si="19"/>
        <v>0</v>
      </c>
      <c r="AW25" s="156">
        <f t="shared" si="20"/>
        <v>0</v>
      </c>
      <c r="AX25" s="156">
        <f t="shared" si="21"/>
        <v>0</v>
      </c>
      <c r="AY25" s="156">
        <f t="shared" si="22"/>
        <v>0</v>
      </c>
      <c r="AZ25" s="156">
        <f>IF(AND(SUM($AQ$16:AQ24)&gt;0,SUM($AZ$16:AZ24)&lt;$P$62,$W25&gt;=$P$65),$P$64,0)</f>
        <v>64.125</v>
      </c>
      <c r="BA25" s="156">
        <f>IF(SUM($AQ$17:$AQ24)&gt;0,($P$62-SUM($AZ$17:$AZ24))*$F$65,0)</f>
        <v>17.313749999999999</v>
      </c>
      <c r="BB25" s="157">
        <f t="shared" si="23"/>
        <v>0</v>
      </c>
      <c r="BC25" s="153">
        <f t="shared" si="24"/>
        <v>0</v>
      </c>
      <c r="BD25" s="154">
        <f t="shared" si="25"/>
        <v>0</v>
      </c>
      <c r="BE25" s="48"/>
      <c r="BF25" s="46">
        <f t="shared" si="43"/>
        <v>0.73692882615967414</v>
      </c>
      <c r="BH25" s="152">
        <f t="shared" si="26"/>
        <v>0</v>
      </c>
      <c r="BI25" s="152">
        <f t="shared" si="27"/>
        <v>0</v>
      </c>
      <c r="BJ25" s="153">
        <f t="shared" si="28"/>
        <v>0</v>
      </c>
      <c r="BK25" s="153">
        <f t="shared" si="29"/>
        <v>0</v>
      </c>
      <c r="BL25" s="153">
        <f t="shared" si="30"/>
        <v>0</v>
      </c>
      <c r="BM25" s="153">
        <f t="shared" si="31"/>
        <v>0</v>
      </c>
      <c r="BN25" s="154">
        <f t="shared" si="32"/>
        <v>0</v>
      </c>
      <c r="BO25" s="153">
        <f t="shared" si="33"/>
        <v>0</v>
      </c>
      <c r="BP25" s="153">
        <f t="shared" si="34"/>
        <v>0</v>
      </c>
      <c r="BQ25" s="153">
        <f t="shared" si="35"/>
        <v>0</v>
      </c>
      <c r="BR25" s="153">
        <f t="shared" si="36"/>
        <v>0</v>
      </c>
      <c r="BS25" s="220">
        <f t="shared" si="37"/>
        <v>0</v>
      </c>
      <c r="BT25" s="153">
        <f t="shared" si="38"/>
        <v>0</v>
      </c>
      <c r="BU25" s="154">
        <f t="shared" si="39"/>
        <v>0</v>
      </c>
      <c r="BV25" s="154">
        <f t="shared" si="40"/>
        <v>0</v>
      </c>
      <c r="BW25" s="150"/>
      <c r="BX25" s="155">
        <f t="shared" si="41"/>
        <v>0</v>
      </c>
      <c r="BY25" s="273">
        <f t="shared" si="44"/>
        <v>0</v>
      </c>
      <c r="CA25"/>
    </row>
    <row r="26" spans="1:79" ht="13.5" customHeight="1">
      <c r="V26" s="57">
        <f t="shared" si="42"/>
        <v>49034</v>
      </c>
      <c r="W26" s="6">
        <v>10</v>
      </c>
      <c r="X26" s="6" t="str">
        <f t="shared" si="0"/>
        <v>-</v>
      </c>
      <c r="Y26" s="158">
        <f t="shared" si="1"/>
        <v>0</v>
      </c>
      <c r="Z26" s="156">
        <f t="shared" si="2"/>
        <v>0</v>
      </c>
      <c r="AA26" s="156">
        <f t="shared" si="3"/>
        <v>0</v>
      </c>
      <c r="AB26" s="156">
        <f t="shared" si="4"/>
        <v>0</v>
      </c>
      <c r="AC26" s="157">
        <f t="shared" si="5"/>
        <v>0</v>
      </c>
      <c r="AD26" s="158">
        <f t="shared" si="6"/>
        <v>0</v>
      </c>
      <c r="AE26" s="156">
        <f t="shared" si="7"/>
        <v>0</v>
      </c>
      <c r="AF26" s="156">
        <f t="shared" si="8"/>
        <v>0</v>
      </c>
      <c r="AG26" s="156">
        <f>IF(AND(SUM($AA$16:AA25)&gt;0,SUM($AG$16:AG25)&lt;$O$62,$W26&gt;=$O$65),$O$64,0)</f>
        <v>64.125</v>
      </c>
      <c r="AH26" s="153">
        <f>IF(SUM($AA$17:$AA25)&gt;0,($O$62-SUM($AG$17:$AG25))*$F$65,0)</f>
        <v>16.351875</v>
      </c>
      <c r="AI26" s="157">
        <f t="shared" si="9"/>
        <v>0</v>
      </c>
      <c r="AJ26" s="153">
        <f t="shared" si="10"/>
        <v>0</v>
      </c>
      <c r="AK26" s="155">
        <f>(SUM($P$31,$P$51)-SUM($AU$17:AU25))*$O$109</f>
        <v>0</v>
      </c>
      <c r="AL26" s="160"/>
      <c r="AM26" s="154">
        <f t="shared" si="11"/>
        <v>0</v>
      </c>
      <c r="AN26" s="161"/>
      <c r="AO26" s="152">
        <f t="shared" si="12"/>
        <v>0</v>
      </c>
      <c r="AP26" s="153">
        <f t="shared" si="13"/>
        <v>0</v>
      </c>
      <c r="AQ26" s="153">
        <f t="shared" si="14"/>
        <v>0</v>
      </c>
      <c r="AR26" s="156">
        <f t="shared" si="15"/>
        <v>0</v>
      </c>
      <c r="AS26" s="157">
        <f t="shared" si="16"/>
        <v>0</v>
      </c>
      <c r="AT26" s="156">
        <f t="shared" si="17"/>
        <v>0</v>
      </c>
      <c r="AU26" s="156">
        <f t="shared" si="18"/>
        <v>0</v>
      </c>
      <c r="AV26" s="156">
        <f t="shared" si="19"/>
        <v>0</v>
      </c>
      <c r="AW26" s="156">
        <f t="shared" si="20"/>
        <v>0</v>
      </c>
      <c r="AX26" s="156">
        <f t="shared" si="21"/>
        <v>0</v>
      </c>
      <c r="AY26" s="156">
        <f t="shared" si="22"/>
        <v>0</v>
      </c>
      <c r="AZ26" s="156">
        <f>IF(AND(SUM($AQ$16:AQ25)&gt;0,SUM($AZ$16:AZ25)&lt;$P$62,$W26&gt;=$P$65),$P$64,0)</f>
        <v>64.125</v>
      </c>
      <c r="BA26" s="156">
        <f>IF(SUM($AQ$17:$AQ25)&gt;0,($P$62-SUM($AZ$17:$AZ25))*$F$65,0)</f>
        <v>16.351875</v>
      </c>
      <c r="BB26" s="157">
        <f t="shared" si="23"/>
        <v>0</v>
      </c>
      <c r="BC26" s="153">
        <f t="shared" si="24"/>
        <v>0</v>
      </c>
      <c r="BD26" s="154">
        <f t="shared" si="25"/>
        <v>0</v>
      </c>
      <c r="BE26" s="48"/>
      <c r="BF26" s="46">
        <f t="shared" si="43"/>
        <v>0.71235265941002823</v>
      </c>
      <c r="BH26" s="152">
        <f t="shared" si="26"/>
        <v>0</v>
      </c>
      <c r="BI26" s="152">
        <f t="shared" si="27"/>
        <v>0</v>
      </c>
      <c r="BJ26" s="153">
        <f t="shared" si="28"/>
        <v>0</v>
      </c>
      <c r="BK26" s="153">
        <f t="shared" si="29"/>
        <v>0</v>
      </c>
      <c r="BL26" s="153">
        <f t="shared" si="30"/>
        <v>0</v>
      </c>
      <c r="BM26" s="153">
        <f t="shared" si="31"/>
        <v>0</v>
      </c>
      <c r="BN26" s="154">
        <f t="shared" si="32"/>
        <v>0</v>
      </c>
      <c r="BO26" s="153">
        <f t="shared" si="33"/>
        <v>0</v>
      </c>
      <c r="BP26" s="153">
        <f t="shared" si="34"/>
        <v>0</v>
      </c>
      <c r="BQ26" s="153">
        <f t="shared" si="35"/>
        <v>0</v>
      </c>
      <c r="BR26" s="153">
        <f t="shared" si="36"/>
        <v>0</v>
      </c>
      <c r="BS26" s="220">
        <f t="shared" si="37"/>
        <v>0</v>
      </c>
      <c r="BT26" s="153">
        <f t="shared" si="38"/>
        <v>0</v>
      </c>
      <c r="BU26" s="154">
        <f t="shared" si="39"/>
        <v>0</v>
      </c>
      <c r="BV26" s="154">
        <f t="shared" si="40"/>
        <v>0</v>
      </c>
      <c r="BW26" s="150"/>
      <c r="BX26" s="155">
        <f t="shared" si="41"/>
        <v>0</v>
      </c>
      <c r="BY26" s="273">
        <f t="shared" si="44"/>
        <v>0</v>
      </c>
      <c r="CA26"/>
    </row>
    <row r="27" spans="1:79" ht="15.75" customHeight="1">
      <c r="A27" s="4" t="s">
        <v>101</v>
      </c>
      <c r="H27" s="71"/>
      <c r="I27" s="71"/>
      <c r="J27" s="4" t="s">
        <v>102</v>
      </c>
      <c r="V27" s="57">
        <f t="shared" si="42"/>
        <v>49399</v>
      </c>
      <c r="W27" s="6">
        <v>11</v>
      </c>
      <c r="X27" s="6" t="str">
        <f t="shared" si="0"/>
        <v>-</v>
      </c>
      <c r="Y27" s="158">
        <f t="shared" si="1"/>
        <v>0</v>
      </c>
      <c r="Z27" s="156">
        <f t="shared" si="2"/>
        <v>0</v>
      </c>
      <c r="AA27" s="156">
        <f t="shared" si="3"/>
        <v>0</v>
      </c>
      <c r="AB27" s="156">
        <f t="shared" si="4"/>
        <v>0</v>
      </c>
      <c r="AC27" s="157">
        <f t="shared" si="5"/>
        <v>0</v>
      </c>
      <c r="AD27" s="158">
        <f t="shared" si="6"/>
        <v>0</v>
      </c>
      <c r="AE27" s="156">
        <f t="shared" si="7"/>
        <v>0</v>
      </c>
      <c r="AF27" s="156">
        <f t="shared" si="8"/>
        <v>0</v>
      </c>
      <c r="AG27" s="156">
        <f>IF(AND(SUM($AA$16:AA26)&gt;0,SUM($AG$16:AG26)&lt;$O$62,$W27&gt;=$O$65),$O$64,0)</f>
        <v>64.125</v>
      </c>
      <c r="AH27" s="153">
        <f>IF(SUM($AA$17:$AA26)&gt;0,($O$62-SUM($AG$17:$AG26))*$F$65,0)</f>
        <v>15.389999999999999</v>
      </c>
      <c r="AI27" s="157">
        <f t="shared" si="9"/>
        <v>0</v>
      </c>
      <c r="AJ27" s="153">
        <f t="shared" si="10"/>
        <v>0</v>
      </c>
      <c r="AK27" s="155">
        <f>(SUM($P$31,$P$51)-SUM($AU$17:AU26))*$O$109</f>
        <v>0</v>
      </c>
      <c r="AL27" s="160"/>
      <c r="AM27" s="154">
        <f t="shared" si="11"/>
        <v>0</v>
      </c>
      <c r="AN27" s="161"/>
      <c r="AO27" s="152">
        <f t="shared" si="12"/>
        <v>0</v>
      </c>
      <c r="AP27" s="153">
        <f t="shared" si="13"/>
        <v>0</v>
      </c>
      <c r="AQ27" s="153">
        <f t="shared" si="14"/>
        <v>0</v>
      </c>
      <c r="AR27" s="156">
        <f t="shared" si="15"/>
        <v>0</v>
      </c>
      <c r="AS27" s="157">
        <f t="shared" si="16"/>
        <v>0</v>
      </c>
      <c r="AT27" s="156">
        <f t="shared" si="17"/>
        <v>0</v>
      </c>
      <c r="AU27" s="156">
        <f t="shared" si="18"/>
        <v>0</v>
      </c>
      <c r="AV27" s="156">
        <f t="shared" si="19"/>
        <v>0</v>
      </c>
      <c r="AW27" s="156">
        <f t="shared" si="20"/>
        <v>0</v>
      </c>
      <c r="AX27" s="156">
        <f t="shared" si="21"/>
        <v>0</v>
      </c>
      <c r="AY27" s="156">
        <f t="shared" si="22"/>
        <v>0</v>
      </c>
      <c r="AZ27" s="156">
        <f>IF(AND(SUM($AQ$16:AQ26)&gt;0,SUM($AZ$16:AZ26)&lt;$P$62,$W27&gt;=$P$65),$P$64,0)</f>
        <v>64.125</v>
      </c>
      <c r="BA27" s="156">
        <f>IF(SUM($AQ$17:$AQ26)&gt;0,($P$62-SUM($AZ$17:$AZ26))*$F$65,0)</f>
        <v>15.389999999999999</v>
      </c>
      <c r="BB27" s="157">
        <f t="shared" si="23"/>
        <v>0</v>
      </c>
      <c r="BC27" s="153">
        <f t="shared" si="24"/>
        <v>0</v>
      </c>
      <c r="BD27" s="154">
        <f t="shared" si="25"/>
        <v>0</v>
      </c>
      <c r="BE27" s="48"/>
      <c r="BF27" s="46">
        <f t="shared" si="43"/>
        <v>0.68859609416145795</v>
      </c>
      <c r="BH27" s="152">
        <f t="shared" si="26"/>
        <v>0</v>
      </c>
      <c r="BI27" s="152">
        <f t="shared" si="27"/>
        <v>0</v>
      </c>
      <c r="BJ27" s="153">
        <f t="shared" si="28"/>
        <v>0</v>
      </c>
      <c r="BK27" s="153">
        <f t="shared" si="29"/>
        <v>0</v>
      </c>
      <c r="BL27" s="153">
        <f t="shared" si="30"/>
        <v>0</v>
      </c>
      <c r="BM27" s="153">
        <f t="shared" si="31"/>
        <v>0</v>
      </c>
      <c r="BN27" s="154">
        <f t="shared" si="32"/>
        <v>0</v>
      </c>
      <c r="BO27" s="153">
        <f t="shared" si="33"/>
        <v>0</v>
      </c>
      <c r="BP27" s="153">
        <f t="shared" si="34"/>
        <v>0</v>
      </c>
      <c r="BQ27" s="153">
        <f t="shared" si="35"/>
        <v>0</v>
      </c>
      <c r="BR27" s="153">
        <f t="shared" si="36"/>
        <v>0</v>
      </c>
      <c r="BS27" s="220">
        <f t="shared" si="37"/>
        <v>0</v>
      </c>
      <c r="BT27" s="153">
        <f t="shared" si="38"/>
        <v>0</v>
      </c>
      <c r="BU27" s="154">
        <f t="shared" si="39"/>
        <v>0</v>
      </c>
      <c r="BV27" s="154">
        <f t="shared" si="40"/>
        <v>0</v>
      </c>
      <c r="BW27" s="150"/>
      <c r="BX27" s="155">
        <f t="shared" si="41"/>
        <v>0</v>
      </c>
      <c r="BY27" s="273">
        <f t="shared" si="44"/>
        <v>0</v>
      </c>
      <c r="CA27"/>
    </row>
    <row r="28" spans="1:79" ht="15.75" customHeight="1">
      <c r="B28" t="s">
        <v>103</v>
      </c>
      <c r="D28" t="s">
        <v>7</v>
      </c>
      <c r="F28" s="276">
        <f>SUM(F29:F30)</f>
        <v>3000</v>
      </c>
      <c r="J28" s="4" t="s">
        <v>104</v>
      </c>
      <c r="O28" t="s">
        <v>2</v>
      </c>
      <c r="P28" t="s">
        <v>50</v>
      </c>
      <c r="V28" s="57">
        <f t="shared" si="42"/>
        <v>49765</v>
      </c>
      <c r="W28" s="6">
        <v>12</v>
      </c>
      <c r="X28" s="6" t="str">
        <f t="shared" si="0"/>
        <v>-</v>
      </c>
      <c r="Y28" s="158">
        <f t="shared" si="1"/>
        <v>0</v>
      </c>
      <c r="Z28" s="156">
        <f t="shared" si="2"/>
        <v>0</v>
      </c>
      <c r="AA28" s="156">
        <f t="shared" si="3"/>
        <v>0</v>
      </c>
      <c r="AB28" s="156">
        <f t="shared" si="4"/>
        <v>0</v>
      </c>
      <c r="AC28" s="157">
        <f t="shared" si="5"/>
        <v>0</v>
      </c>
      <c r="AD28" s="158">
        <f t="shared" si="6"/>
        <v>0</v>
      </c>
      <c r="AE28" s="156">
        <f t="shared" si="7"/>
        <v>0</v>
      </c>
      <c r="AF28" s="156">
        <f t="shared" si="8"/>
        <v>0</v>
      </c>
      <c r="AG28" s="156">
        <f>IF(AND(SUM($AA$16:AA27)&gt;0,SUM($AG$16:AG27)&lt;$O$62,$W28&gt;=$O$65),$O$64,0)</f>
        <v>64.125</v>
      </c>
      <c r="AH28" s="153">
        <f>IF(SUM($AA$17:$AA27)&gt;0,($O$62-SUM($AG$17:$AG27))*$F$65,0)</f>
        <v>14.428125</v>
      </c>
      <c r="AI28" s="157">
        <f t="shared" si="9"/>
        <v>0</v>
      </c>
      <c r="AJ28" s="153">
        <f t="shared" si="10"/>
        <v>0</v>
      </c>
      <c r="AK28" s="155">
        <f>(SUM($P$31,$P$51)-SUM($AU$17:AU27))*$O$109</f>
        <v>0</v>
      </c>
      <c r="AL28" s="160"/>
      <c r="AM28" s="154">
        <f t="shared" si="11"/>
        <v>0</v>
      </c>
      <c r="AN28" s="161"/>
      <c r="AO28" s="152">
        <f t="shared" si="12"/>
        <v>0</v>
      </c>
      <c r="AP28" s="153">
        <f t="shared" si="13"/>
        <v>0</v>
      </c>
      <c r="AQ28" s="153">
        <f t="shared" si="14"/>
        <v>0</v>
      </c>
      <c r="AR28" s="156">
        <f t="shared" si="15"/>
        <v>0</v>
      </c>
      <c r="AS28" s="157">
        <f t="shared" si="16"/>
        <v>0</v>
      </c>
      <c r="AT28" s="156">
        <f t="shared" si="17"/>
        <v>0</v>
      </c>
      <c r="AU28" s="156">
        <f t="shared" si="18"/>
        <v>0</v>
      </c>
      <c r="AV28" s="156">
        <f t="shared" si="19"/>
        <v>0</v>
      </c>
      <c r="AW28" s="156">
        <f t="shared" si="20"/>
        <v>0</v>
      </c>
      <c r="AX28" s="156">
        <f t="shared" si="21"/>
        <v>0</v>
      </c>
      <c r="AY28" s="156">
        <f t="shared" si="22"/>
        <v>0</v>
      </c>
      <c r="AZ28" s="156">
        <f>IF(AND(SUM($AQ$16:AQ27)&gt;0,SUM($AZ$16:AZ27)&lt;$P$62,$W28&gt;=$P$65),$P$64,0)</f>
        <v>64.125</v>
      </c>
      <c r="BA28" s="156">
        <f>IF(SUM($AQ$17:$AQ27)&gt;0,($P$62-SUM($AZ$17:$AZ27))*$F$65,0)</f>
        <v>14.428125</v>
      </c>
      <c r="BB28" s="157">
        <f t="shared" si="23"/>
        <v>0</v>
      </c>
      <c r="BC28" s="153">
        <f t="shared" si="24"/>
        <v>0</v>
      </c>
      <c r="BD28" s="154">
        <f t="shared" si="25"/>
        <v>0</v>
      </c>
      <c r="BE28" s="48"/>
      <c r="BF28" s="46">
        <f t="shared" si="43"/>
        <v>0.66563179715945675</v>
      </c>
      <c r="BH28" s="152">
        <f t="shared" si="26"/>
        <v>0</v>
      </c>
      <c r="BI28" s="152">
        <f t="shared" si="27"/>
        <v>0</v>
      </c>
      <c r="BJ28" s="153">
        <f t="shared" si="28"/>
        <v>0</v>
      </c>
      <c r="BK28" s="153">
        <f t="shared" si="29"/>
        <v>0</v>
      </c>
      <c r="BL28" s="153">
        <f t="shared" si="30"/>
        <v>0</v>
      </c>
      <c r="BM28" s="153">
        <f t="shared" si="31"/>
        <v>0</v>
      </c>
      <c r="BN28" s="154">
        <f t="shared" si="32"/>
        <v>0</v>
      </c>
      <c r="BO28" s="153">
        <f t="shared" si="33"/>
        <v>0</v>
      </c>
      <c r="BP28" s="153">
        <f t="shared" si="34"/>
        <v>0</v>
      </c>
      <c r="BQ28" s="153">
        <f t="shared" si="35"/>
        <v>0</v>
      </c>
      <c r="BR28" s="153">
        <f t="shared" si="36"/>
        <v>0</v>
      </c>
      <c r="BS28" s="220">
        <f t="shared" si="37"/>
        <v>0</v>
      </c>
      <c r="BT28" s="153">
        <f t="shared" si="38"/>
        <v>0</v>
      </c>
      <c r="BU28" s="154">
        <f t="shared" si="39"/>
        <v>0</v>
      </c>
      <c r="BV28" s="154">
        <f t="shared" si="40"/>
        <v>0</v>
      </c>
      <c r="BW28" s="150"/>
      <c r="BX28" s="155">
        <f t="shared" si="41"/>
        <v>0</v>
      </c>
      <c r="BY28" s="273">
        <f t="shared" si="44"/>
        <v>0</v>
      </c>
      <c r="CA28"/>
    </row>
    <row r="29" spans="1:79" ht="15.75" customHeight="1">
      <c r="C29" s="2" t="s">
        <v>105</v>
      </c>
      <c r="D29" t="s">
        <v>7</v>
      </c>
      <c r="F29" s="277">
        <f>事業費用概算!G6</f>
        <v>0</v>
      </c>
      <c r="K29" t="s">
        <v>83</v>
      </c>
      <c r="N29" s="19" t="s">
        <v>7</v>
      </c>
      <c r="O29" s="51">
        <f>F30*$F$50+F29</f>
        <v>2850</v>
      </c>
      <c r="P29" s="51">
        <f>F28*(1-F51)</f>
        <v>2850</v>
      </c>
      <c r="Q29" t="s">
        <v>106</v>
      </c>
      <c r="V29" s="57">
        <f t="shared" si="42"/>
        <v>50130</v>
      </c>
      <c r="W29" s="6">
        <v>13</v>
      </c>
      <c r="X29" s="6" t="str">
        <f t="shared" si="0"/>
        <v>-</v>
      </c>
      <c r="Y29" s="158">
        <f t="shared" si="1"/>
        <v>0</v>
      </c>
      <c r="Z29" s="156">
        <f t="shared" si="2"/>
        <v>0</v>
      </c>
      <c r="AA29" s="156">
        <f t="shared" si="3"/>
        <v>0</v>
      </c>
      <c r="AB29" s="156">
        <f t="shared" si="4"/>
        <v>0</v>
      </c>
      <c r="AC29" s="157">
        <f t="shared" si="5"/>
        <v>0</v>
      </c>
      <c r="AD29" s="158">
        <f t="shared" si="6"/>
        <v>0</v>
      </c>
      <c r="AE29" s="156">
        <f t="shared" si="7"/>
        <v>0</v>
      </c>
      <c r="AF29" s="156">
        <f t="shared" si="8"/>
        <v>0</v>
      </c>
      <c r="AG29" s="156">
        <f>IF(AND(SUM($AA$16:AA28)&gt;0,SUM($AG$16:AG28)&lt;$O$62,$W29&gt;=$O$65),$O$64,0)</f>
        <v>64.125</v>
      </c>
      <c r="AH29" s="153">
        <f>IF(SUM($AA$17:$AA28)&gt;0,($O$62-SUM($AG$17:$AG28))*$F$65,0)</f>
        <v>13.466249999999999</v>
      </c>
      <c r="AI29" s="157">
        <f t="shared" si="9"/>
        <v>0</v>
      </c>
      <c r="AJ29" s="153">
        <f t="shared" si="10"/>
        <v>0</v>
      </c>
      <c r="AK29" s="155">
        <f>(SUM($P$31,$P$51)-SUM($AU$17:AU28))*$O$109</f>
        <v>0</v>
      </c>
      <c r="AL29" s="160"/>
      <c r="AM29" s="154">
        <f t="shared" si="11"/>
        <v>0</v>
      </c>
      <c r="AN29" s="161"/>
      <c r="AO29" s="152">
        <f t="shared" si="12"/>
        <v>0</v>
      </c>
      <c r="AP29" s="153">
        <f t="shared" si="13"/>
        <v>0</v>
      </c>
      <c r="AQ29" s="153">
        <f t="shared" si="14"/>
        <v>0</v>
      </c>
      <c r="AR29" s="156">
        <f t="shared" si="15"/>
        <v>0</v>
      </c>
      <c r="AS29" s="157">
        <f t="shared" si="16"/>
        <v>0</v>
      </c>
      <c r="AT29" s="156">
        <f t="shared" si="17"/>
        <v>0</v>
      </c>
      <c r="AU29" s="156">
        <f t="shared" si="18"/>
        <v>0</v>
      </c>
      <c r="AV29" s="156">
        <f t="shared" si="19"/>
        <v>0</v>
      </c>
      <c r="AW29" s="156">
        <f t="shared" si="20"/>
        <v>0</v>
      </c>
      <c r="AX29" s="156">
        <f t="shared" si="21"/>
        <v>0</v>
      </c>
      <c r="AY29" s="156">
        <f t="shared" si="22"/>
        <v>0</v>
      </c>
      <c r="AZ29" s="156">
        <f>IF(AND(SUM($AQ$16:AQ28)&gt;0,SUM($AZ$16:AZ28)&lt;$P$62,$W29&gt;=$P$65),$P$64,0)</f>
        <v>64.125</v>
      </c>
      <c r="BA29" s="156">
        <f>IF(SUM($AQ$17:$AQ28)&gt;0,($P$62-SUM($AZ$17:$AZ28))*$F$65,0)</f>
        <v>13.466249999999999</v>
      </c>
      <c r="BB29" s="157">
        <f t="shared" si="23"/>
        <v>0</v>
      </c>
      <c r="BC29" s="153">
        <f t="shared" si="24"/>
        <v>0</v>
      </c>
      <c r="BD29" s="154">
        <f t="shared" si="25"/>
        <v>0</v>
      </c>
      <c r="BE29" s="48"/>
      <c r="BF29" s="46">
        <f t="shared" si="43"/>
        <v>0.64343334669836327</v>
      </c>
      <c r="BH29" s="152">
        <f t="shared" si="26"/>
        <v>0</v>
      </c>
      <c r="BI29" s="152">
        <f t="shared" si="27"/>
        <v>0</v>
      </c>
      <c r="BJ29" s="153">
        <f t="shared" si="28"/>
        <v>0</v>
      </c>
      <c r="BK29" s="153">
        <f t="shared" si="29"/>
        <v>0</v>
      </c>
      <c r="BL29" s="153">
        <f t="shared" si="30"/>
        <v>0</v>
      </c>
      <c r="BM29" s="153">
        <f t="shared" si="31"/>
        <v>0</v>
      </c>
      <c r="BN29" s="154">
        <f t="shared" si="32"/>
        <v>0</v>
      </c>
      <c r="BO29" s="153">
        <f t="shared" si="33"/>
        <v>0</v>
      </c>
      <c r="BP29" s="153">
        <f t="shared" si="34"/>
        <v>0</v>
      </c>
      <c r="BQ29" s="153">
        <f t="shared" si="35"/>
        <v>0</v>
      </c>
      <c r="BR29" s="153">
        <f t="shared" si="36"/>
        <v>0</v>
      </c>
      <c r="BS29" s="220">
        <f t="shared" si="37"/>
        <v>0</v>
      </c>
      <c r="BT29" s="153">
        <f t="shared" si="38"/>
        <v>0</v>
      </c>
      <c r="BU29" s="154">
        <f t="shared" si="39"/>
        <v>0</v>
      </c>
      <c r="BV29" s="154">
        <f t="shared" si="40"/>
        <v>0</v>
      </c>
      <c r="BW29" s="150"/>
      <c r="BX29" s="155">
        <f t="shared" si="41"/>
        <v>0</v>
      </c>
      <c r="BY29" s="273">
        <f t="shared" si="44"/>
        <v>0</v>
      </c>
      <c r="CA29"/>
    </row>
    <row r="30" spans="1:79" ht="15.75" customHeight="1">
      <c r="C30" s="2" t="s">
        <v>107</v>
      </c>
      <c r="D30" t="s">
        <v>7</v>
      </c>
      <c r="F30" s="277">
        <f>事業費用概算!G7</f>
        <v>3000</v>
      </c>
      <c r="M30" s="55" t="s">
        <v>108</v>
      </c>
      <c r="N30" s="19" t="s">
        <v>7</v>
      </c>
      <c r="O30" s="50">
        <f>O29*E32</f>
        <v>2850</v>
      </c>
      <c r="P30" s="50">
        <f>$P$29*F32</f>
        <v>2850</v>
      </c>
      <c r="V30" s="57">
        <f t="shared" si="42"/>
        <v>50495</v>
      </c>
      <c r="W30" s="6">
        <v>14</v>
      </c>
      <c r="X30" s="6" t="str">
        <f t="shared" si="0"/>
        <v>-</v>
      </c>
      <c r="Y30" s="158">
        <f t="shared" si="1"/>
        <v>0</v>
      </c>
      <c r="Z30" s="156">
        <f t="shared" si="2"/>
        <v>0</v>
      </c>
      <c r="AA30" s="156">
        <f t="shared" si="3"/>
        <v>0</v>
      </c>
      <c r="AB30" s="156">
        <f t="shared" si="4"/>
        <v>0</v>
      </c>
      <c r="AC30" s="157">
        <f t="shared" si="5"/>
        <v>0</v>
      </c>
      <c r="AD30" s="158">
        <f t="shared" si="6"/>
        <v>0</v>
      </c>
      <c r="AE30" s="156">
        <f t="shared" si="7"/>
        <v>0</v>
      </c>
      <c r="AF30" s="156">
        <f t="shared" si="8"/>
        <v>0</v>
      </c>
      <c r="AG30" s="156">
        <f>IF(AND(SUM($AA$16:AA29)&gt;0,SUM($AG$16:AG29)&lt;$O$62,$W30&gt;=$O$65),$O$64,0)</f>
        <v>64.125</v>
      </c>
      <c r="AH30" s="153">
        <f>IF(SUM($AA$17:$AA29)&gt;0,($O$62-SUM($AG$17:$AG29))*$F$65,0)</f>
        <v>12.504375</v>
      </c>
      <c r="AI30" s="157">
        <f t="shared" si="9"/>
        <v>0</v>
      </c>
      <c r="AJ30" s="153">
        <f t="shared" si="10"/>
        <v>0</v>
      </c>
      <c r="AK30" s="155">
        <f>(SUM($P$31,$P$51)-SUM($AU$17:AU29))*$O$109</f>
        <v>0</v>
      </c>
      <c r="AL30" s="160"/>
      <c r="AM30" s="154">
        <f t="shared" si="11"/>
        <v>0</v>
      </c>
      <c r="AN30" s="161"/>
      <c r="AO30" s="152">
        <f t="shared" si="12"/>
        <v>0</v>
      </c>
      <c r="AP30" s="153">
        <f t="shared" si="13"/>
        <v>0</v>
      </c>
      <c r="AQ30" s="153">
        <f t="shared" si="14"/>
        <v>0</v>
      </c>
      <c r="AR30" s="156">
        <f t="shared" si="15"/>
        <v>0</v>
      </c>
      <c r="AS30" s="157">
        <f t="shared" si="16"/>
        <v>0</v>
      </c>
      <c r="AT30" s="156">
        <f t="shared" si="17"/>
        <v>0</v>
      </c>
      <c r="AU30" s="156">
        <f t="shared" si="18"/>
        <v>0</v>
      </c>
      <c r="AV30" s="156">
        <f t="shared" si="19"/>
        <v>0</v>
      </c>
      <c r="AW30" s="156">
        <f t="shared" si="20"/>
        <v>0</v>
      </c>
      <c r="AX30" s="156">
        <f t="shared" si="21"/>
        <v>0</v>
      </c>
      <c r="AY30" s="156">
        <f t="shared" si="22"/>
        <v>0</v>
      </c>
      <c r="AZ30" s="156">
        <f>IF(AND(SUM($AQ$16:AQ29)&gt;0,SUM($AZ$16:AZ29)&lt;$P$62,$W30&gt;=$P$65),$P$64,0)</f>
        <v>64.125</v>
      </c>
      <c r="BA30" s="156">
        <f>IF(SUM($AQ$17:$AQ29)&gt;0,($P$62-SUM($AZ$17:$AZ29))*$F$65,0)</f>
        <v>12.504375</v>
      </c>
      <c r="BB30" s="157">
        <f t="shared" si="23"/>
        <v>0</v>
      </c>
      <c r="BC30" s="153">
        <f t="shared" si="24"/>
        <v>0</v>
      </c>
      <c r="BD30" s="154">
        <f t="shared" si="25"/>
        <v>0</v>
      </c>
      <c r="BE30" s="48"/>
      <c r="BF30" s="46">
        <f t="shared" si="43"/>
        <v>0.6219752022217141</v>
      </c>
      <c r="BH30" s="152">
        <f t="shared" si="26"/>
        <v>0</v>
      </c>
      <c r="BI30" s="152">
        <f t="shared" si="27"/>
        <v>0</v>
      </c>
      <c r="BJ30" s="153">
        <f t="shared" si="28"/>
        <v>0</v>
      </c>
      <c r="BK30" s="153">
        <f t="shared" si="29"/>
        <v>0</v>
      </c>
      <c r="BL30" s="153">
        <f t="shared" si="30"/>
        <v>0</v>
      </c>
      <c r="BM30" s="153">
        <f t="shared" si="31"/>
        <v>0</v>
      </c>
      <c r="BN30" s="154">
        <f t="shared" si="32"/>
        <v>0</v>
      </c>
      <c r="BO30" s="153">
        <f t="shared" si="33"/>
        <v>0</v>
      </c>
      <c r="BP30" s="153">
        <f t="shared" si="34"/>
        <v>0</v>
      </c>
      <c r="BQ30" s="153">
        <f t="shared" si="35"/>
        <v>0</v>
      </c>
      <c r="BR30" s="153">
        <f t="shared" si="36"/>
        <v>0</v>
      </c>
      <c r="BS30" s="220">
        <f t="shared" si="37"/>
        <v>0</v>
      </c>
      <c r="BT30" s="153">
        <f t="shared" si="38"/>
        <v>0</v>
      </c>
      <c r="BU30" s="154">
        <f t="shared" si="39"/>
        <v>0</v>
      </c>
      <c r="BV30" s="154">
        <f t="shared" si="40"/>
        <v>0</v>
      </c>
      <c r="BW30" s="150"/>
      <c r="BX30" s="155">
        <f t="shared" si="41"/>
        <v>0</v>
      </c>
      <c r="BY30" s="273">
        <f t="shared" si="44"/>
        <v>0</v>
      </c>
      <c r="CA30"/>
    </row>
    <row r="31" spans="1:79" ht="15.75" customHeight="1">
      <c r="C31" t="s">
        <v>109</v>
      </c>
      <c r="E31" s="19" t="s">
        <v>2</v>
      </c>
      <c r="F31" s="19" t="s">
        <v>50</v>
      </c>
      <c r="M31" s="55" t="s">
        <v>110</v>
      </c>
      <c r="N31" s="19" t="s">
        <v>7</v>
      </c>
      <c r="O31" s="50">
        <f>O30*E33</f>
        <v>0</v>
      </c>
      <c r="P31" s="50">
        <f>$P$29*F33</f>
        <v>0</v>
      </c>
      <c r="V31" s="57">
        <f t="shared" si="42"/>
        <v>50860</v>
      </c>
      <c r="W31" s="6">
        <v>15</v>
      </c>
      <c r="X31" s="6" t="str">
        <f t="shared" si="0"/>
        <v>-</v>
      </c>
      <c r="Y31" s="158">
        <f t="shared" si="1"/>
        <v>0</v>
      </c>
      <c r="Z31" s="156">
        <f t="shared" si="2"/>
        <v>0</v>
      </c>
      <c r="AA31" s="156">
        <f t="shared" si="3"/>
        <v>0</v>
      </c>
      <c r="AB31" s="156">
        <f t="shared" si="4"/>
        <v>0</v>
      </c>
      <c r="AC31" s="157">
        <f t="shared" si="5"/>
        <v>0</v>
      </c>
      <c r="AD31" s="158">
        <f t="shared" si="6"/>
        <v>0</v>
      </c>
      <c r="AE31" s="156">
        <f t="shared" si="7"/>
        <v>0</v>
      </c>
      <c r="AF31" s="156">
        <f t="shared" si="8"/>
        <v>0</v>
      </c>
      <c r="AG31" s="156">
        <f>IF(AND(SUM($AA$16:AA30)&gt;0,SUM($AG$16:AG30)&lt;$O$62,$W31&gt;=$O$65),$O$64,0)</f>
        <v>64.125</v>
      </c>
      <c r="AH31" s="153">
        <f>IF(SUM($AA$17:$AA30)&gt;0,($O$62-SUM($AG$17:$AG30))*$F$65,0)</f>
        <v>11.5425</v>
      </c>
      <c r="AI31" s="157">
        <f t="shared" si="9"/>
        <v>0</v>
      </c>
      <c r="AJ31" s="153">
        <f t="shared" si="10"/>
        <v>0</v>
      </c>
      <c r="AK31" s="155">
        <f>(SUM($P$31,$P$51)-SUM($AU$17:AU30))*$O$109</f>
        <v>0</v>
      </c>
      <c r="AL31" s="160"/>
      <c r="AM31" s="154">
        <f t="shared" si="11"/>
        <v>0</v>
      </c>
      <c r="AN31" s="161"/>
      <c r="AO31" s="152">
        <f t="shared" si="12"/>
        <v>0</v>
      </c>
      <c r="AP31" s="153">
        <f t="shared" si="13"/>
        <v>0</v>
      </c>
      <c r="AQ31" s="153">
        <f t="shared" si="14"/>
        <v>0</v>
      </c>
      <c r="AR31" s="156">
        <f t="shared" si="15"/>
        <v>0</v>
      </c>
      <c r="AS31" s="157">
        <f t="shared" si="16"/>
        <v>0</v>
      </c>
      <c r="AT31" s="156">
        <f t="shared" si="17"/>
        <v>0</v>
      </c>
      <c r="AU31" s="156">
        <f t="shared" si="18"/>
        <v>0</v>
      </c>
      <c r="AV31" s="156">
        <f t="shared" si="19"/>
        <v>0</v>
      </c>
      <c r="AW31" s="156">
        <f t="shared" si="20"/>
        <v>0</v>
      </c>
      <c r="AX31" s="156">
        <f t="shared" si="21"/>
        <v>0</v>
      </c>
      <c r="AY31" s="156">
        <f t="shared" si="22"/>
        <v>0</v>
      </c>
      <c r="AZ31" s="156">
        <f>IF(AND(SUM($AQ$16:AQ30)&gt;0,SUM($AZ$16:AZ30)&lt;$P$62,$W31&gt;=$P$65),$P$64,0)</f>
        <v>64.125</v>
      </c>
      <c r="BA31" s="156">
        <f>IF(SUM($AQ$17:$AQ30)&gt;0,($P$62-SUM($AZ$17:$AZ30))*$F$65,0)</f>
        <v>11.5425</v>
      </c>
      <c r="BB31" s="157">
        <f t="shared" si="23"/>
        <v>0</v>
      </c>
      <c r="BC31" s="153">
        <f t="shared" si="24"/>
        <v>0</v>
      </c>
      <c r="BD31" s="154">
        <f t="shared" si="25"/>
        <v>0</v>
      </c>
      <c r="BE31" s="48"/>
      <c r="BF31" s="46">
        <f t="shared" si="43"/>
        <v>0.60123267493640808</v>
      </c>
      <c r="BH31" s="152">
        <f t="shared" si="26"/>
        <v>0</v>
      </c>
      <c r="BI31" s="152">
        <f t="shared" si="27"/>
        <v>0</v>
      </c>
      <c r="BJ31" s="153">
        <f t="shared" si="28"/>
        <v>0</v>
      </c>
      <c r="BK31" s="153">
        <f t="shared" si="29"/>
        <v>0</v>
      </c>
      <c r="BL31" s="153">
        <f t="shared" si="30"/>
        <v>0</v>
      </c>
      <c r="BM31" s="153">
        <f t="shared" si="31"/>
        <v>0</v>
      </c>
      <c r="BN31" s="154">
        <f t="shared" si="32"/>
        <v>0</v>
      </c>
      <c r="BO31" s="153">
        <f t="shared" si="33"/>
        <v>0</v>
      </c>
      <c r="BP31" s="153">
        <f t="shared" si="34"/>
        <v>0</v>
      </c>
      <c r="BQ31" s="153">
        <f t="shared" si="35"/>
        <v>0</v>
      </c>
      <c r="BR31" s="153">
        <f t="shared" si="36"/>
        <v>0</v>
      </c>
      <c r="BS31" s="220">
        <f t="shared" si="37"/>
        <v>0</v>
      </c>
      <c r="BT31" s="153">
        <f t="shared" si="38"/>
        <v>0</v>
      </c>
      <c r="BU31" s="154">
        <f t="shared" si="39"/>
        <v>0</v>
      </c>
      <c r="BV31" s="154">
        <f t="shared" si="40"/>
        <v>0</v>
      </c>
      <c r="BW31" s="150"/>
      <c r="BX31" s="155">
        <f t="shared" si="41"/>
        <v>0</v>
      </c>
      <c r="BY31" s="273">
        <f t="shared" si="44"/>
        <v>0</v>
      </c>
      <c r="CA31"/>
    </row>
    <row r="32" spans="1:79" ht="15.75" customHeight="1">
      <c r="C32" s="2" t="s">
        <v>108</v>
      </c>
      <c r="D32" t="s">
        <v>38</v>
      </c>
      <c r="E32" s="258">
        <v>1</v>
      </c>
      <c r="F32" s="135">
        <v>1</v>
      </c>
      <c r="H32" s="71" t="s">
        <v>111</v>
      </c>
      <c r="M32" s="55" t="s">
        <v>112</v>
      </c>
      <c r="N32" s="19" t="s">
        <v>7</v>
      </c>
      <c r="O32" s="50">
        <f>SUM(O30:O31)</f>
        <v>2850</v>
      </c>
      <c r="P32" s="50">
        <f>SUM(P30:P31)</f>
        <v>2850</v>
      </c>
      <c r="V32" s="57">
        <f t="shared" si="42"/>
        <v>51226</v>
      </c>
      <c r="W32" s="6">
        <v>16</v>
      </c>
      <c r="X32" s="6" t="str">
        <f t="shared" si="0"/>
        <v>-</v>
      </c>
      <c r="Y32" s="158">
        <f t="shared" si="1"/>
        <v>0</v>
      </c>
      <c r="Z32" s="156">
        <f t="shared" si="2"/>
        <v>0</v>
      </c>
      <c r="AA32" s="156">
        <f t="shared" si="3"/>
        <v>0</v>
      </c>
      <c r="AB32" s="156">
        <f t="shared" si="4"/>
        <v>0</v>
      </c>
      <c r="AC32" s="157">
        <f t="shared" si="5"/>
        <v>0</v>
      </c>
      <c r="AD32" s="158">
        <f t="shared" si="6"/>
        <v>0</v>
      </c>
      <c r="AE32" s="156">
        <f t="shared" si="7"/>
        <v>0</v>
      </c>
      <c r="AF32" s="156">
        <f t="shared" si="8"/>
        <v>0</v>
      </c>
      <c r="AG32" s="156">
        <f>IF(AND(SUM($AA$16:AA31)&gt;0,SUM($AG$16:AG31)&lt;$O$62,$W32&gt;=$O$65),$O$64,0)</f>
        <v>64.125</v>
      </c>
      <c r="AH32" s="153">
        <f>IF(SUM($AA$17:$AA31)&gt;0,($O$62-SUM($AG$17:$AG31))*$F$65,0)</f>
        <v>10.580625</v>
      </c>
      <c r="AI32" s="157">
        <f t="shared" si="9"/>
        <v>0</v>
      </c>
      <c r="AJ32" s="153">
        <f t="shared" si="10"/>
        <v>0</v>
      </c>
      <c r="AK32" s="155">
        <f>(SUM($P$31,$P$51)-SUM($AU$17:AU31))*$O$109</f>
        <v>0</v>
      </c>
      <c r="AL32" s="160"/>
      <c r="AM32" s="154">
        <f t="shared" si="11"/>
        <v>0</v>
      </c>
      <c r="AN32" s="161"/>
      <c r="AO32" s="152">
        <f t="shared" si="12"/>
        <v>0</v>
      </c>
      <c r="AP32" s="153">
        <f t="shared" si="13"/>
        <v>0</v>
      </c>
      <c r="AQ32" s="153">
        <f t="shared" si="14"/>
        <v>0</v>
      </c>
      <c r="AR32" s="156">
        <f t="shared" si="15"/>
        <v>0</v>
      </c>
      <c r="AS32" s="157">
        <f t="shared" si="16"/>
        <v>0</v>
      </c>
      <c r="AT32" s="156">
        <f t="shared" si="17"/>
        <v>0</v>
      </c>
      <c r="AU32" s="156">
        <f t="shared" si="18"/>
        <v>0</v>
      </c>
      <c r="AV32" s="156">
        <f t="shared" si="19"/>
        <v>0</v>
      </c>
      <c r="AW32" s="156">
        <f t="shared" si="20"/>
        <v>0</v>
      </c>
      <c r="AX32" s="156">
        <f t="shared" si="21"/>
        <v>0</v>
      </c>
      <c r="AY32" s="156">
        <f t="shared" si="22"/>
        <v>0</v>
      </c>
      <c r="AZ32" s="156">
        <f>IF(AND(SUM($AQ$16:AQ31)&gt;0,SUM($AZ$16:AZ31)&lt;$P$62,$W32&gt;=$P$65),$P$64,0)</f>
        <v>64.125</v>
      </c>
      <c r="BA32" s="156">
        <f>IF(SUM($AQ$17:$AQ31)&gt;0,($P$62-SUM($AZ$17:$AZ31))*$F$65,0)</f>
        <v>10.580625</v>
      </c>
      <c r="BB32" s="157">
        <f t="shared" si="23"/>
        <v>0</v>
      </c>
      <c r="BC32" s="153">
        <f t="shared" si="24"/>
        <v>0</v>
      </c>
      <c r="BD32" s="154">
        <f t="shared" si="25"/>
        <v>0</v>
      </c>
      <c r="BE32" s="48"/>
      <c r="BF32" s="46">
        <f t="shared" si="43"/>
        <v>0.58118189940687104</v>
      </c>
      <c r="BH32" s="152">
        <f t="shared" si="26"/>
        <v>0</v>
      </c>
      <c r="BI32" s="152">
        <f t="shared" si="27"/>
        <v>0</v>
      </c>
      <c r="BJ32" s="153">
        <f t="shared" si="28"/>
        <v>0</v>
      </c>
      <c r="BK32" s="153">
        <f t="shared" si="29"/>
        <v>0</v>
      </c>
      <c r="BL32" s="153">
        <f t="shared" si="30"/>
        <v>0</v>
      </c>
      <c r="BM32" s="153">
        <f t="shared" si="31"/>
        <v>0</v>
      </c>
      <c r="BN32" s="154">
        <f t="shared" si="32"/>
        <v>0</v>
      </c>
      <c r="BO32" s="153">
        <f t="shared" si="33"/>
        <v>0</v>
      </c>
      <c r="BP32" s="153">
        <f t="shared" si="34"/>
        <v>0</v>
      </c>
      <c r="BQ32" s="153">
        <f t="shared" si="35"/>
        <v>0</v>
      </c>
      <c r="BR32" s="153">
        <f t="shared" si="36"/>
        <v>0</v>
      </c>
      <c r="BS32" s="220">
        <f t="shared" si="37"/>
        <v>0</v>
      </c>
      <c r="BT32" s="153">
        <f t="shared" si="38"/>
        <v>0</v>
      </c>
      <c r="BU32" s="154">
        <f t="shared" si="39"/>
        <v>0</v>
      </c>
      <c r="BV32" s="154">
        <f t="shared" si="40"/>
        <v>0</v>
      </c>
      <c r="BW32" s="150"/>
      <c r="BX32" s="155">
        <f t="shared" si="41"/>
        <v>0</v>
      </c>
      <c r="BY32" s="273">
        <f t="shared" si="44"/>
        <v>0</v>
      </c>
      <c r="CA32"/>
    </row>
    <row r="33" spans="2:79" ht="15.75" customHeight="1">
      <c r="C33" s="2" t="s">
        <v>110</v>
      </c>
      <c r="D33" t="s">
        <v>38</v>
      </c>
      <c r="E33" s="136"/>
      <c r="F33" s="136"/>
      <c r="V33" s="57">
        <f t="shared" si="42"/>
        <v>51591</v>
      </c>
      <c r="W33" s="6">
        <v>17</v>
      </c>
      <c r="X33" s="6" t="str">
        <f t="shared" si="0"/>
        <v>-</v>
      </c>
      <c r="Y33" s="158">
        <f t="shared" si="1"/>
        <v>0</v>
      </c>
      <c r="Z33" s="156">
        <f t="shared" si="2"/>
        <v>0</v>
      </c>
      <c r="AA33" s="156">
        <f t="shared" si="3"/>
        <v>0</v>
      </c>
      <c r="AB33" s="156">
        <f t="shared" si="4"/>
        <v>0</v>
      </c>
      <c r="AC33" s="157">
        <f t="shared" si="5"/>
        <v>0</v>
      </c>
      <c r="AD33" s="158">
        <f t="shared" si="6"/>
        <v>0</v>
      </c>
      <c r="AE33" s="156">
        <f t="shared" si="7"/>
        <v>0</v>
      </c>
      <c r="AF33" s="156">
        <f t="shared" si="8"/>
        <v>0</v>
      </c>
      <c r="AG33" s="156">
        <f>IF(AND(SUM($AA$16:AA32)&gt;0,SUM($AG$16:AG32)&lt;$O$62,$W33&gt;=$O$65),$O$64,0)</f>
        <v>64.125</v>
      </c>
      <c r="AH33" s="153">
        <f>IF(SUM($AA$17:$AA32)&gt;0,($O$62-SUM($AG$17:$AG32))*$F$65,0)</f>
        <v>9.6187500000000004</v>
      </c>
      <c r="AI33" s="157">
        <f t="shared" si="9"/>
        <v>0</v>
      </c>
      <c r="AJ33" s="153">
        <f t="shared" si="10"/>
        <v>0</v>
      </c>
      <c r="AK33" s="155">
        <f>(SUM($P$31,$P$51)-SUM($AU$17:AU32))*$O$109</f>
        <v>0</v>
      </c>
      <c r="AL33" s="160"/>
      <c r="AM33" s="154">
        <f t="shared" si="11"/>
        <v>0</v>
      </c>
      <c r="AN33" s="161"/>
      <c r="AO33" s="152">
        <f t="shared" si="12"/>
        <v>0</v>
      </c>
      <c r="AP33" s="153">
        <f t="shared" si="13"/>
        <v>0</v>
      </c>
      <c r="AQ33" s="153">
        <f t="shared" si="14"/>
        <v>0</v>
      </c>
      <c r="AR33" s="156">
        <f t="shared" si="15"/>
        <v>0</v>
      </c>
      <c r="AS33" s="157">
        <f t="shared" si="16"/>
        <v>0</v>
      </c>
      <c r="AT33" s="156">
        <f t="shared" si="17"/>
        <v>0</v>
      </c>
      <c r="AU33" s="156">
        <f t="shared" si="18"/>
        <v>0</v>
      </c>
      <c r="AV33" s="156">
        <f t="shared" si="19"/>
        <v>0</v>
      </c>
      <c r="AW33" s="156">
        <f t="shared" si="20"/>
        <v>0</v>
      </c>
      <c r="AX33" s="156">
        <f t="shared" si="21"/>
        <v>0</v>
      </c>
      <c r="AY33" s="156">
        <f t="shared" si="22"/>
        <v>0</v>
      </c>
      <c r="AZ33" s="156">
        <f>IF(AND(SUM($AQ$16:AQ32)&gt;0,SUM($AZ$16:AZ32)&lt;$P$62,$W33&gt;=$P$65),$P$64,0)</f>
        <v>64.125</v>
      </c>
      <c r="BA33" s="156">
        <f>IF(SUM($AQ$17:$AQ32)&gt;0,($P$62-SUM($AZ$17:$AZ32))*$F$65,0)</f>
        <v>9.6187500000000004</v>
      </c>
      <c r="BB33" s="157">
        <f t="shared" si="23"/>
        <v>0</v>
      </c>
      <c r="BC33" s="153">
        <f t="shared" si="24"/>
        <v>0</v>
      </c>
      <c r="BD33" s="154">
        <f t="shared" si="25"/>
        <v>0</v>
      </c>
      <c r="BE33" s="48"/>
      <c r="BF33" s="46">
        <f t="shared" si="43"/>
        <v>0.56179980609654045</v>
      </c>
      <c r="BH33" s="152">
        <f t="shared" si="26"/>
        <v>0</v>
      </c>
      <c r="BI33" s="152">
        <f t="shared" si="27"/>
        <v>0</v>
      </c>
      <c r="BJ33" s="153">
        <f t="shared" si="28"/>
        <v>0</v>
      </c>
      <c r="BK33" s="153">
        <f t="shared" si="29"/>
        <v>0</v>
      </c>
      <c r="BL33" s="153">
        <f t="shared" si="30"/>
        <v>0</v>
      </c>
      <c r="BM33" s="153">
        <f t="shared" si="31"/>
        <v>0</v>
      </c>
      <c r="BN33" s="154">
        <f t="shared" si="32"/>
        <v>0</v>
      </c>
      <c r="BO33" s="153">
        <f t="shared" si="33"/>
        <v>0</v>
      </c>
      <c r="BP33" s="153">
        <f t="shared" si="34"/>
        <v>0</v>
      </c>
      <c r="BQ33" s="153">
        <f t="shared" si="35"/>
        <v>0</v>
      </c>
      <c r="BR33" s="153">
        <f t="shared" si="36"/>
        <v>0</v>
      </c>
      <c r="BS33" s="220">
        <f t="shared" si="37"/>
        <v>0</v>
      </c>
      <c r="BT33" s="153">
        <f t="shared" si="38"/>
        <v>0</v>
      </c>
      <c r="BU33" s="154">
        <f t="shared" si="39"/>
        <v>0</v>
      </c>
      <c r="BV33" s="154">
        <f t="shared" si="40"/>
        <v>0</v>
      </c>
      <c r="BW33" s="150"/>
      <c r="BX33" s="155">
        <f t="shared" si="41"/>
        <v>0</v>
      </c>
      <c r="BY33" s="273">
        <f t="shared" si="44"/>
        <v>0</v>
      </c>
      <c r="CA33"/>
    </row>
    <row r="34" spans="2:79" ht="15.75" customHeight="1">
      <c r="E34" s="13">
        <f>SUM(E32:E33)</f>
        <v>1</v>
      </c>
      <c r="F34" s="13">
        <f>SUM(F32:F33)</f>
        <v>1</v>
      </c>
      <c r="V34" s="57">
        <f t="shared" si="42"/>
        <v>51956</v>
      </c>
      <c r="W34" s="6">
        <v>18</v>
      </c>
      <c r="X34" s="6" t="str">
        <f t="shared" si="0"/>
        <v>-</v>
      </c>
      <c r="Y34" s="158">
        <f t="shared" si="1"/>
        <v>0</v>
      </c>
      <c r="Z34" s="156">
        <f t="shared" si="2"/>
        <v>0</v>
      </c>
      <c r="AA34" s="156">
        <f t="shared" si="3"/>
        <v>0</v>
      </c>
      <c r="AB34" s="156">
        <f t="shared" si="4"/>
        <v>0</v>
      </c>
      <c r="AC34" s="157">
        <f t="shared" si="5"/>
        <v>0</v>
      </c>
      <c r="AD34" s="158">
        <f t="shared" si="6"/>
        <v>0</v>
      </c>
      <c r="AE34" s="156">
        <f t="shared" si="7"/>
        <v>0</v>
      </c>
      <c r="AF34" s="156">
        <f t="shared" si="8"/>
        <v>0</v>
      </c>
      <c r="AG34" s="156">
        <f>IF(AND(SUM($AA$16:AA33)&gt;0,SUM($AG$16:AG33)&lt;$O$62,$W34&gt;=$O$65),$O$64,0)</f>
        <v>64.125</v>
      </c>
      <c r="AH34" s="153">
        <f>IF(SUM($AA$17:$AA33)&gt;0,($O$62-SUM($AG$17:$AG33))*$F$65,0)</f>
        <v>8.6568749999999994</v>
      </c>
      <c r="AI34" s="157">
        <f t="shared" si="9"/>
        <v>0</v>
      </c>
      <c r="AJ34" s="153">
        <f t="shared" si="10"/>
        <v>0</v>
      </c>
      <c r="AK34" s="155">
        <f>(SUM($P$31,$P$51)-SUM($AU$17:AU33))*$O$109</f>
        <v>0</v>
      </c>
      <c r="AL34" s="160"/>
      <c r="AM34" s="154">
        <f t="shared" si="11"/>
        <v>0</v>
      </c>
      <c r="AN34" s="161"/>
      <c r="AO34" s="152">
        <f t="shared" si="12"/>
        <v>0</v>
      </c>
      <c r="AP34" s="153">
        <f t="shared" si="13"/>
        <v>0</v>
      </c>
      <c r="AQ34" s="153">
        <f t="shared" si="14"/>
        <v>0</v>
      </c>
      <c r="AR34" s="156">
        <f t="shared" si="15"/>
        <v>0</v>
      </c>
      <c r="AS34" s="157">
        <f t="shared" si="16"/>
        <v>0</v>
      </c>
      <c r="AT34" s="156">
        <f t="shared" si="17"/>
        <v>0</v>
      </c>
      <c r="AU34" s="156">
        <f t="shared" si="18"/>
        <v>0</v>
      </c>
      <c r="AV34" s="156">
        <f t="shared" si="19"/>
        <v>0</v>
      </c>
      <c r="AW34" s="156">
        <f t="shared" si="20"/>
        <v>0</v>
      </c>
      <c r="AX34" s="156">
        <f t="shared" si="21"/>
        <v>0</v>
      </c>
      <c r="AY34" s="156">
        <f t="shared" si="22"/>
        <v>0</v>
      </c>
      <c r="AZ34" s="156">
        <f>IF(AND(SUM($AQ$16:AQ33)&gt;0,SUM($AZ$16:AZ33)&lt;$P$62,$W34&gt;=$P$65),$P$64,0)</f>
        <v>64.125</v>
      </c>
      <c r="BA34" s="156">
        <f>IF(SUM($AQ$17:$AQ33)&gt;0,($P$62-SUM($AZ$17:$AZ33))*$F$65,0)</f>
        <v>8.6568749999999994</v>
      </c>
      <c r="BB34" s="157">
        <f t="shared" si="23"/>
        <v>0</v>
      </c>
      <c r="BC34" s="153">
        <f t="shared" si="24"/>
        <v>0</v>
      </c>
      <c r="BD34" s="154">
        <f t="shared" si="25"/>
        <v>0</v>
      </c>
      <c r="BE34" s="48"/>
      <c r="BF34" s="46">
        <f t="shared" si="43"/>
        <v>0.54306409482507534</v>
      </c>
      <c r="BH34" s="152">
        <f t="shared" si="26"/>
        <v>0</v>
      </c>
      <c r="BI34" s="152">
        <f t="shared" si="27"/>
        <v>0</v>
      </c>
      <c r="BJ34" s="153">
        <f t="shared" si="28"/>
        <v>0</v>
      </c>
      <c r="BK34" s="153">
        <f t="shared" si="29"/>
        <v>0</v>
      </c>
      <c r="BL34" s="153">
        <f t="shared" si="30"/>
        <v>0</v>
      </c>
      <c r="BM34" s="153">
        <f t="shared" si="31"/>
        <v>0</v>
      </c>
      <c r="BN34" s="154">
        <f t="shared" si="32"/>
        <v>0</v>
      </c>
      <c r="BO34" s="153">
        <f t="shared" si="33"/>
        <v>0</v>
      </c>
      <c r="BP34" s="153">
        <f t="shared" si="34"/>
        <v>0</v>
      </c>
      <c r="BQ34" s="153">
        <f t="shared" si="35"/>
        <v>0</v>
      </c>
      <c r="BR34" s="153">
        <f t="shared" si="36"/>
        <v>0</v>
      </c>
      <c r="BS34" s="220">
        <f t="shared" si="37"/>
        <v>0</v>
      </c>
      <c r="BT34" s="153">
        <f t="shared" si="38"/>
        <v>0</v>
      </c>
      <c r="BU34" s="154">
        <f t="shared" si="39"/>
        <v>0</v>
      </c>
      <c r="BV34" s="154">
        <f t="shared" si="40"/>
        <v>0</v>
      </c>
      <c r="BW34" s="150"/>
      <c r="BX34" s="155">
        <f t="shared" si="41"/>
        <v>0</v>
      </c>
      <c r="BY34" s="273">
        <f t="shared" si="44"/>
        <v>0</v>
      </c>
      <c r="CA34"/>
    </row>
    <row r="35" spans="2:79" ht="15.75" customHeight="1">
      <c r="B35" s="55" t="s">
        <v>113</v>
      </c>
      <c r="C35" s="2" t="s">
        <v>114</v>
      </c>
      <c r="D35" t="s">
        <v>38</v>
      </c>
      <c r="F35" s="15">
        <v>0</v>
      </c>
      <c r="H35" s="147" t="s">
        <v>115</v>
      </c>
      <c r="J35" s="101" t="s">
        <v>116</v>
      </c>
      <c r="P35" t="s">
        <v>50</v>
      </c>
      <c r="V35" s="57">
        <f t="shared" si="42"/>
        <v>52321</v>
      </c>
      <c r="W35" s="6">
        <v>19</v>
      </c>
      <c r="X35" s="6" t="str">
        <f t="shared" si="0"/>
        <v>-</v>
      </c>
      <c r="Y35" s="158">
        <f t="shared" si="1"/>
        <v>0</v>
      </c>
      <c r="Z35" s="156">
        <f t="shared" si="2"/>
        <v>0</v>
      </c>
      <c r="AA35" s="156">
        <f t="shared" si="3"/>
        <v>0</v>
      </c>
      <c r="AB35" s="156">
        <f t="shared" si="4"/>
        <v>0</v>
      </c>
      <c r="AC35" s="157">
        <f t="shared" si="5"/>
        <v>0</v>
      </c>
      <c r="AD35" s="158">
        <f t="shared" si="6"/>
        <v>0</v>
      </c>
      <c r="AE35" s="156">
        <f t="shared" si="7"/>
        <v>0</v>
      </c>
      <c r="AF35" s="156">
        <f t="shared" si="8"/>
        <v>0</v>
      </c>
      <c r="AG35" s="156">
        <f>IF(AND(SUM($AA$16:AA34)&gt;0,SUM($AG$16:AG34)&lt;$O$62,$W35&gt;=$O$65),$O$64,0)</f>
        <v>64.125</v>
      </c>
      <c r="AH35" s="153">
        <f>IF(SUM($AA$17:$AA34)&gt;0,($O$62-SUM($AG$17:$AG34))*$F$65,0)</f>
        <v>7.6949999999999994</v>
      </c>
      <c r="AI35" s="157">
        <f t="shared" si="9"/>
        <v>0</v>
      </c>
      <c r="AJ35" s="153">
        <f t="shared" si="10"/>
        <v>0</v>
      </c>
      <c r="AK35" s="155">
        <f>(SUM($P$31,$P$51)-SUM($AU$17:AU34))*$O$109</f>
        <v>0</v>
      </c>
      <c r="AL35" s="160"/>
      <c r="AM35" s="154">
        <f t="shared" si="11"/>
        <v>0</v>
      </c>
      <c r="AN35" s="161"/>
      <c r="AO35" s="152">
        <f t="shared" si="12"/>
        <v>0</v>
      </c>
      <c r="AP35" s="153">
        <f t="shared" si="13"/>
        <v>0</v>
      </c>
      <c r="AQ35" s="153">
        <f t="shared" si="14"/>
        <v>0</v>
      </c>
      <c r="AR35" s="156">
        <f t="shared" si="15"/>
        <v>0</v>
      </c>
      <c r="AS35" s="157">
        <f t="shared" si="16"/>
        <v>0</v>
      </c>
      <c r="AT35" s="156">
        <f t="shared" si="17"/>
        <v>0</v>
      </c>
      <c r="AU35" s="156">
        <f t="shared" si="18"/>
        <v>0</v>
      </c>
      <c r="AV35" s="156">
        <f t="shared" si="19"/>
        <v>0</v>
      </c>
      <c r="AW35" s="156">
        <f t="shared" si="20"/>
        <v>0</v>
      </c>
      <c r="AX35" s="156">
        <f t="shared" si="21"/>
        <v>0</v>
      </c>
      <c r="AY35" s="156">
        <f t="shared" si="22"/>
        <v>0</v>
      </c>
      <c r="AZ35" s="156">
        <f>IF(AND(SUM($AQ$16:AQ34)&gt;0,SUM($AZ$16:AZ34)&lt;$P$62,$W35&gt;=$P$65),$P$64,0)</f>
        <v>64.125</v>
      </c>
      <c r="BA35" s="156">
        <f>IF(SUM($AQ$17:$AQ34)&gt;0,($P$62-SUM($AZ$17:$AZ34))*$F$65,0)</f>
        <v>7.6949999999999994</v>
      </c>
      <c r="BB35" s="157">
        <f t="shared" si="23"/>
        <v>0</v>
      </c>
      <c r="BC35" s="153">
        <f t="shared" si="24"/>
        <v>0</v>
      </c>
      <c r="BD35" s="154">
        <f t="shared" si="25"/>
        <v>0</v>
      </c>
      <c r="BE35" s="48"/>
      <c r="BF35" s="46">
        <f t="shared" si="43"/>
        <v>0.52495320911075438</v>
      </c>
      <c r="BH35" s="152">
        <f t="shared" si="26"/>
        <v>0</v>
      </c>
      <c r="BI35" s="152">
        <f t="shared" si="27"/>
        <v>0</v>
      </c>
      <c r="BJ35" s="153">
        <f t="shared" si="28"/>
        <v>0</v>
      </c>
      <c r="BK35" s="153">
        <f t="shared" si="29"/>
        <v>0</v>
      </c>
      <c r="BL35" s="153">
        <f t="shared" si="30"/>
        <v>0</v>
      </c>
      <c r="BM35" s="153">
        <f t="shared" si="31"/>
        <v>0</v>
      </c>
      <c r="BN35" s="154">
        <f t="shared" si="32"/>
        <v>0</v>
      </c>
      <c r="BO35" s="153">
        <f t="shared" si="33"/>
        <v>0</v>
      </c>
      <c r="BP35" s="153">
        <f t="shared" si="34"/>
        <v>0</v>
      </c>
      <c r="BQ35" s="153">
        <f t="shared" si="35"/>
        <v>0</v>
      </c>
      <c r="BR35" s="153">
        <f t="shared" si="36"/>
        <v>0</v>
      </c>
      <c r="BS35" s="220">
        <f t="shared" si="37"/>
        <v>0</v>
      </c>
      <c r="BT35" s="153">
        <f t="shared" si="38"/>
        <v>0</v>
      </c>
      <c r="BU35" s="154">
        <f t="shared" si="39"/>
        <v>0</v>
      </c>
      <c r="BV35" s="154">
        <f t="shared" si="40"/>
        <v>0</v>
      </c>
      <c r="BW35" s="150"/>
      <c r="BX35" s="155">
        <f t="shared" si="41"/>
        <v>0</v>
      </c>
      <c r="BY35" s="273">
        <f t="shared" si="44"/>
        <v>0</v>
      </c>
      <c r="CA35"/>
    </row>
    <row r="36" spans="2:79" ht="15.75" customHeight="1">
      <c r="C36" s="2" t="s">
        <v>117</v>
      </c>
      <c r="D36" t="s">
        <v>38</v>
      </c>
      <c r="F36" s="137">
        <f>F70</f>
        <v>0</v>
      </c>
      <c r="H36" s="147" t="s">
        <v>115</v>
      </c>
      <c r="J36" s="4"/>
      <c r="K36" s="55" t="s">
        <v>118</v>
      </c>
      <c r="N36" s="19" t="s">
        <v>38</v>
      </c>
      <c r="O36" s="52"/>
      <c r="P36" s="36">
        <f>SUM(F35:F37)</f>
        <v>0</v>
      </c>
      <c r="V36" s="57">
        <f t="shared" si="42"/>
        <v>52687</v>
      </c>
      <c r="W36" s="6">
        <v>20</v>
      </c>
      <c r="X36" s="6" t="str">
        <f t="shared" si="0"/>
        <v>-</v>
      </c>
      <c r="Y36" s="158">
        <f t="shared" si="1"/>
        <v>0</v>
      </c>
      <c r="Z36" s="156">
        <f t="shared" si="2"/>
        <v>0</v>
      </c>
      <c r="AA36" s="156">
        <f t="shared" si="3"/>
        <v>0</v>
      </c>
      <c r="AB36" s="156">
        <f t="shared" si="4"/>
        <v>0</v>
      </c>
      <c r="AC36" s="157">
        <f t="shared" si="5"/>
        <v>0</v>
      </c>
      <c r="AD36" s="158">
        <f t="shared" si="6"/>
        <v>0</v>
      </c>
      <c r="AE36" s="156">
        <f t="shared" si="7"/>
        <v>0</v>
      </c>
      <c r="AF36" s="156">
        <f t="shared" si="8"/>
        <v>0</v>
      </c>
      <c r="AG36" s="156">
        <f>IF(AND(SUM($AA$16:AA35)&gt;0,SUM($AG$16:AG35)&lt;$O$62,$W36&gt;=$O$65),$O$64,0)</f>
        <v>64.125</v>
      </c>
      <c r="AH36" s="153">
        <f>IF(SUM($AA$17:$AA35)&gt;0,($O$62-SUM($AG$17:$AG35))*$F$65,0)</f>
        <v>6.7331249999999994</v>
      </c>
      <c r="AI36" s="157">
        <f t="shared" si="9"/>
        <v>0</v>
      </c>
      <c r="AJ36" s="153">
        <f t="shared" si="10"/>
        <v>0</v>
      </c>
      <c r="AK36" s="155">
        <f>(SUM($P$31,$P$51)-SUM($AU$17:AU35))*$O$109</f>
        <v>0</v>
      </c>
      <c r="AL36" s="160"/>
      <c r="AM36" s="154">
        <f t="shared" si="11"/>
        <v>0</v>
      </c>
      <c r="AN36" s="161"/>
      <c r="AO36" s="152">
        <f t="shared" si="12"/>
        <v>0</v>
      </c>
      <c r="AP36" s="153">
        <f t="shared" si="13"/>
        <v>0</v>
      </c>
      <c r="AQ36" s="153">
        <f t="shared" si="14"/>
        <v>0</v>
      </c>
      <c r="AR36" s="156">
        <f t="shared" si="15"/>
        <v>0</v>
      </c>
      <c r="AS36" s="157">
        <f t="shared" si="16"/>
        <v>0</v>
      </c>
      <c r="AT36" s="156">
        <f t="shared" si="17"/>
        <v>0</v>
      </c>
      <c r="AU36" s="156">
        <f t="shared" si="18"/>
        <v>0</v>
      </c>
      <c r="AV36" s="156">
        <f t="shared" si="19"/>
        <v>0</v>
      </c>
      <c r="AW36" s="156">
        <f t="shared" si="20"/>
        <v>0</v>
      </c>
      <c r="AX36" s="156">
        <f t="shared" si="21"/>
        <v>0</v>
      </c>
      <c r="AY36" s="156">
        <f t="shared" si="22"/>
        <v>0</v>
      </c>
      <c r="AZ36" s="156">
        <f>IF(AND(SUM($AQ$16:AQ35)&gt;0,SUM($AZ$16:AZ35)&lt;$P$62,$W36&gt;=$P$65),$P$64,0)</f>
        <v>64.125</v>
      </c>
      <c r="BA36" s="156">
        <f>IF(SUM($AQ$17:$AQ35)&gt;0,($P$62-SUM($AZ$17:$AZ35))*$F$65,0)</f>
        <v>6.7331249999999994</v>
      </c>
      <c r="BB36" s="157">
        <f t="shared" si="23"/>
        <v>0</v>
      </c>
      <c r="BC36" s="153">
        <f t="shared" si="24"/>
        <v>0</v>
      </c>
      <c r="BD36" s="154">
        <f t="shared" si="25"/>
        <v>0</v>
      </c>
      <c r="BE36" s="48"/>
      <c r="BF36" s="46">
        <f t="shared" si="43"/>
        <v>0.50744631136853979</v>
      </c>
      <c r="BH36" s="152">
        <f t="shared" si="26"/>
        <v>0</v>
      </c>
      <c r="BI36" s="152">
        <f t="shared" si="27"/>
        <v>0</v>
      </c>
      <c r="BJ36" s="153">
        <f t="shared" si="28"/>
        <v>0</v>
      </c>
      <c r="BK36" s="153">
        <f t="shared" si="29"/>
        <v>0</v>
      </c>
      <c r="BL36" s="153">
        <f t="shared" si="30"/>
        <v>0</v>
      </c>
      <c r="BM36" s="153">
        <f t="shared" si="31"/>
        <v>0</v>
      </c>
      <c r="BN36" s="154">
        <f t="shared" si="32"/>
        <v>0</v>
      </c>
      <c r="BO36" s="153">
        <f t="shared" si="33"/>
        <v>0</v>
      </c>
      <c r="BP36" s="153">
        <f t="shared" si="34"/>
        <v>0</v>
      </c>
      <c r="BQ36" s="153">
        <f t="shared" si="35"/>
        <v>0</v>
      </c>
      <c r="BR36" s="153">
        <f t="shared" si="36"/>
        <v>0</v>
      </c>
      <c r="BS36" s="220">
        <f t="shared" si="37"/>
        <v>0</v>
      </c>
      <c r="BT36" s="153">
        <f t="shared" si="38"/>
        <v>0</v>
      </c>
      <c r="BU36" s="154">
        <f t="shared" si="39"/>
        <v>0</v>
      </c>
      <c r="BV36" s="154">
        <f t="shared" si="40"/>
        <v>0</v>
      </c>
      <c r="BW36" s="150"/>
      <c r="BX36" s="155">
        <f t="shared" si="41"/>
        <v>0</v>
      </c>
      <c r="BY36" s="273">
        <f t="shared" si="44"/>
        <v>0</v>
      </c>
      <c r="CA36"/>
    </row>
    <row r="37" spans="2:79" ht="15.75" customHeight="1">
      <c r="C37" s="2" t="s">
        <v>119</v>
      </c>
      <c r="D37" t="s">
        <v>38</v>
      </c>
      <c r="F37" s="107">
        <v>0</v>
      </c>
      <c r="H37" s="147" t="s">
        <v>115</v>
      </c>
      <c r="V37" s="57">
        <f t="shared" si="42"/>
        <v>53052</v>
      </c>
      <c r="W37" s="6">
        <v>21</v>
      </c>
      <c r="X37" s="6" t="str">
        <f t="shared" si="0"/>
        <v>-</v>
      </c>
      <c r="Y37" s="158">
        <f t="shared" si="1"/>
        <v>0</v>
      </c>
      <c r="Z37" s="156">
        <f t="shared" si="2"/>
        <v>0</v>
      </c>
      <c r="AA37" s="156">
        <f t="shared" si="3"/>
        <v>0</v>
      </c>
      <c r="AB37" s="156">
        <f t="shared" si="4"/>
        <v>0</v>
      </c>
      <c r="AC37" s="157">
        <f t="shared" si="5"/>
        <v>0</v>
      </c>
      <c r="AD37" s="158">
        <f t="shared" si="6"/>
        <v>0</v>
      </c>
      <c r="AE37" s="156">
        <f t="shared" si="7"/>
        <v>0</v>
      </c>
      <c r="AF37" s="156">
        <f t="shared" si="8"/>
        <v>0</v>
      </c>
      <c r="AG37" s="156">
        <f>IF(AND(SUM($AA$16:AA36)&gt;0,SUM($AG$16:AG36)&lt;$O$62,$W37&gt;=$O$65),$O$64,0)</f>
        <v>64.125</v>
      </c>
      <c r="AH37" s="153">
        <f>IF(SUM($AA$17:$AA36)&gt;0,($O$62-SUM($AG$17:$AG36))*$F$65,0)</f>
        <v>5.7712500000000002</v>
      </c>
      <c r="AI37" s="157">
        <f t="shared" si="9"/>
        <v>0</v>
      </c>
      <c r="AJ37" s="153">
        <f t="shared" si="10"/>
        <v>0</v>
      </c>
      <c r="AK37" s="155">
        <f>(SUM($P$31,$P$51)-SUM($AU$17:AU36))*$O$109</f>
        <v>0</v>
      </c>
      <c r="AL37" s="160"/>
      <c r="AM37" s="154">
        <f t="shared" si="11"/>
        <v>0</v>
      </c>
      <c r="AN37" s="161"/>
      <c r="AO37" s="152">
        <f t="shared" si="12"/>
        <v>0</v>
      </c>
      <c r="AP37" s="153">
        <f t="shared" si="13"/>
        <v>0</v>
      </c>
      <c r="AQ37" s="153">
        <f t="shared" si="14"/>
        <v>0</v>
      </c>
      <c r="AR37" s="156">
        <f t="shared" si="15"/>
        <v>0</v>
      </c>
      <c r="AS37" s="157">
        <f t="shared" si="16"/>
        <v>0</v>
      </c>
      <c r="AT37" s="156">
        <f t="shared" si="17"/>
        <v>0</v>
      </c>
      <c r="AU37" s="156">
        <f t="shared" si="18"/>
        <v>0</v>
      </c>
      <c r="AV37" s="156">
        <f t="shared" si="19"/>
        <v>0</v>
      </c>
      <c r="AW37" s="156">
        <f t="shared" si="20"/>
        <v>0</v>
      </c>
      <c r="AX37" s="156">
        <f t="shared" si="21"/>
        <v>0</v>
      </c>
      <c r="AY37" s="156">
        <f t="shared" si="22"/>
        <v>0</v>
      </c>
      <c r="AZ37" s="156">
        <f>IF(AND(SUM($AQ$16:AQ36)&gt;0,SUM($AZ$16:AZ36)&lt;$P$62,$W37&gt;=$P$65),$P$64,0)</f>
        <v>64.125</v>
      </c>
      <c r="BA37" s="156">
        <f>IF(SUM($AQ$17:$AQ36)&gt;0,($P$62-SUM($AZ$17:$AZ36))*$F$65,0)</f>
        <v>5.7712500000000002</v>
      </c>
      <c r="BB37" s="157">
        <f t="shared" si="23"/>
        <v>0</v>
      </c>
      <c r="BC37" s="153">
        <f t="shared" si="24"/>
        <v>0</v>
      </c>
      <c r="BD37" s="154">
        <f t="shared" si="25"/>
        <v>0</v>
      </c>
      <c r="BE37" s="48"/>
      <c r="BF37" s="46">
        <f t="shared" si="43"/>
        <v>0.49052325893527288</v>
      </c>
      <c r="BH37" s="152">
        <f t="shared" si="26"/>
        <v>0</v>
      </c>
      <c r="BI37" s="152">
        <f t="shared" si="27"/>
        <v>0</v>
      </c>
      <c r="BJ37" s="153">
        <f t="shared" si="28"/>
        <v>0</v>
      </c>
      <c r="BK37" s="153">
        <f t="shared" si="29"/>
        <v>0</v>
      </c>
      <c r="BL37" s="153">
        <f t="shared" si="30"/>
        <v>0</v>
      </c>
      <c r="BM37" s="153">
        <f t="shared" si="31"/>
        <v>0</v>
      </c>
      <c r="BN37" s="154">
        <f t="shared" si="32"/>
        <v>0</v>
      </c>
      <c r="BO37" s="153">
        <f t="shared" si="33"/>
        <v>0</v>
      </c>
      <c r="BP37" s="153">
        <f t="shared" si="34"/>
        <v>0</v>
      </c>
      <c r="BQ37" s="153">
        <f t="shared" si="35"/>
        <v>0</v>
      </c>
      <c r="BR37" s="153">
        <f t="shared" si="36"/>
        <v>0</v>
      </c>
      <c r="BS37" s="220">
        <f t="shared" si="37"/>
        <v>0</v>
      </c>
      <c r="BT37" s="153">
        <f t="shared" si="38"/>
        <v>0</v>
      </c>
      <c r="BU37" s="154">
        <f t="shared" si="39"/>
        <v>0</v>
      </c>
      <c r="BV37" s="154">
        <f t="shared" si="40"/>
        <v>0</v>
      </c>
      <c r="BW37" s="150"/>
      <c r="BX37" s="155">
        <f t="shared" si="41"/>
        <v>0</v>
      </c>
      <c r="BY37" s="273">
        <f t="shared" si="44"/>
        <v>0</v>
      </c>
      <c r="CA37"/>
    </row>
    <row r="38" spans="2:79" ht="15.75" customHeight="1">
      <c r="C38" s="98"/>
      <c r="D38" s="100" t="s">
        <v>120</v>
      </c>
      <c r="E38" s="99"/>
      <c r="F38" s="97">
        <f>BY15</f>
        <v>0</v>
      </c>
      <c r="V38" s="57">
        <f t="shared" si="42"/>
        <v>53417</v>
      </c>
      <c r="W38" s="6">
        <v>22</v>
      </c>
      <c r="X38" s="6" t="str">
        <f t="shared" si="0"/>
        <v>-</v>
      </c>
      <c r="Y38" s="158">
        <f t="shared" si="1"/>
        <v>0</v>
      </c>
      <c r="Z38" s="156">
        <f t="shared" si="2"/>
        <v>0</v>
      </c>
      <c r="AA38" s="156">
        <f t="shared" si="3"/>
        <v>0</v>
      </c>
      <c r="AB38" s="156">
        <f t="shared" si="4"/>
        <v>0</v>
      </c>
      <c r="AC38" s="157">
        <f t="shared" si="5"/>
        <v>0</v>
      </c>
      <c r="AD38" s="158">
        <f t="shared" si="6"/>
        <v>0</v>
      </c>
      <c r="AE38" s="156">
        <f t="shared" si="7"/>
        <v>0</v>
      </c>
      <c r="AF38" s="156">
        <f t="shared" si="8"/>
        <v>0</v>
      </c>
      <c r="AG38" s="156">
        <f>IF(AND(SUM($AA$16:AA37)&gt;0,SUM($AG$16:AG37)&lt;$O$62,$W38&gt;=$O$65),$O$64,0)</f>
        <v>64.125</v>
      </c>
      <c r="AH38" s="153">
        <f>IF(SUM($AA$17:$AA37)&gt;0,($O$62-SUM($AG$17:$AG37))*$F$65,0)</f>
        <v>4.8093750000000002</v>
      </c>
      <c r="AI38" s="157">
        <f t="shared" si="9"/>
        <v>0</v>
      </c>
      <c r="AJ38" s="153">
        <f t="shared" si="10"/>
        <v>0</v>
      </c>
      <c r="AK38" s="155">
        <f>(SUM($P$31,$P$51)-SUM($AU$17:AU37))*$O$109</f>
        <v>0</v>
      </c>
      <c r="AL38" s="160"/>
      <c r="AM38" s="154">
        <f t="shared" si="11"/>
        <v>0</v>
      </c>
      <c r="AN38" s="161"/>
      <c r="AO38" s="152">
        <f t="shared" si="12"/>
        <v>0</v>
      </c>
      <c r="AP38" s="153">
        <f t="shared" si="13"/>
        <v>0</v>
      </c>
      <c r="AQ38" s="153">
        <f t="shared" si="14"/>
        <v>0</v>
      </c>
      <c r="AR38" s="156">
        <f t="shared" si="15"/>
        <v>0</v>
      </c>
      <c r="AS38" s="157">
        <f t="shared" si="16"/>
        <v>0</v>
      </c>
      <c r="AT38" s="156">
        <f t="shared" si="17"/>
        <v>0</v>
      </c>
      <c r="AU38" s="156">
        <f t="shared" si="18"/>
        <v>0</v>
      </c>
      <c r="AV38" s="156">
        <f t="shared" si="19"/>
        <v>0</v>
      </c>
      <c r="AW38" s="156">
        <f t="shared" si="20"/>
        <v>0</v>
      </c>
      <c r="AX38" s="156">
        <f t="shared" si="21"/>
        <v>0</v>
      </c>
      <c r="AY38" s="156">
        <f t="shared" si="22"/>
        <v>0</v>
      </c>
      <c r="AZ38" s="156">
        <f>IF(AND(SUM($AQ$16:AQ37)&gt;0,SUM($AZ$16:AZ37)&lt;$P$62,$W38&gt;=$P$65),$P$64,0)</f>
        <v>64.125</v>
      </c>
      <c r="BA38" s="156">
        <f>IF(SUM($AQ$17:$AQ37)&gt;0,($P$62-SUM($AZ$17:$AZ37))*$F$65,0)</f>
        <v>4.8093750000000002</v>
      </c>
      <c r="BB38" s="157">
        <f t="shared" si="23"/>
        <v>0</v>
      </c>
      <c r="BC38" s="153">
        <f t="shared" si="24"/>
        <v>0</v>
      </c>
      <c r="BD38" s="154">
        <f t="shared" si="25"/>
        <v>0</v>
      </c>
      <c r="BE38" s="48"/>
      <c r="BF38" s="46">
        <f t="shared" si="43"/>
        <v>0.47416458089441554</v>
      </c>
      <c r="BH38" s="152">
        <f t="shared" si="26"/>
        <v>0</v>
      </c>
      <c r="BI38" s="152">
        <f t="shared" si="27"/>
        <v>0</v>
      </c>
      <c r="BJ38" s="153">
        <f t="shared" si="28"/>
        <v>0</v>
      </c>
      <c r="BK38" s="153">
        <f t="shared" si="29"/>
        <v>0</v>
      </c>
      <c r="BL38" s="153">
        <f t="shared" si="30"/>
        <v>0</v>
      </c>
      <c r="BM38" s="153">
        <f t="shared" si="31"/>
        <v>0</v>
      </c>
      <c r="BN38" s="154">
        <f t="shared" si="32"/>
        <v>0</v>
      </c>
      <c r="BO38" s="153">
        <f t="shared" si="33"/>
        <v>0</v>
      </c>
      <c r="BP38" s="153">
        <f t="shared" si="34"/>
        <v>0</v>
      </c>
      <c r="BQ38" s="153">
        <f t="shared" si="35"/>
        <v>0</v>
      </c>
      <c r="BR38" s="153">
        <f t="shared" si="36"/>
        <v>0</v>
      </c>
      <c r="BS38" s="220">
        <f t="shared" si="37"/>
        <v>0</v>
      </c>
      <c r="BT38" s="153">
        <f t="shared" si="38"/>
        <v>0</v>
      </c>
      <c r="BU38" s="154">
        <f t="shared" si="39"/>
        <v>0</v>
      </c>
      <c r="BV38" s="154">
        <f t="shared" si="40"/>
        <v>0</v>
      </c>
      <c r="BW38" s="150"/>
      <c r="BX38" s="155">
        <f t="shared" si="41"/>
        <v>0</v>
      </c>
      <c r="BY38" s="273">
        <f t="shared" si="44"/>
        <v>0</v>
      </c>
      <c r="CA38"/>
    </row>
    <row r="39" spans="2:79" ht="15.75" customHeight="1">
      <c r="V39" s="57">
        <f t="shared" si="42"/>
        <v>53782</v>
      </c>
      <c r="W39" s="6">
        <v>23</v>
      </c>
      <c r="X39" s="6" t="str">
        <f t="shared" si="0"/>
        <v>-</v>
      </c>
      <c r="Y39" s="158">
        <f t="shared" si="1"/>
        <v>0</v>
      </c>
      <c r="Z39" s="156">
        <f t="shared" si="2"/>
        <v>0</v>
      </c>
      <c r="AA39" s="156">
        <f t="shared" si="3"/>
        <v>0</v>
      </c>
      <c r="AB39" s="156">
        <f t="shared" si="4"/>
        <v>0</v>
      </c>
      <c r="AC39" s="157">
        <f t="shared" si="5"/>
        <v>0</v>
      </c>
      <c r="AD39" s="158">
        <f t="shared" si="6"/>
        <v>0</v>
      </c>
      <c r="AE39" s="156">
        <f t="shared" si="7"/>
        <v>0</v>
      </c>
      <c r="AF39" s="156">
        <f t="shared" si="8"/>
        <v>0</v>
      </c>
      <c r="AG39" s="156">
        <f>IF(AND(SUM($AA$16:AA38)&gt;0,SUM($AG$16:AG38)&lt;$O$62,$W39&gt;=$O$65),$O$64,0)</f>
        <v>64.125</v>
      </c>
      <c r="AH39" s="153">
        <f>IF(SUM($AA$17:$AA38)&gt;0,($O$62-SUM($AG$17:$AG38))*$F$65,0)</f>
        <v>3.8474999999999997</v>
      </c>
      <c r="AI39" s="157">
        <f t="shared" si="9"/>
        <v>0</v>
      </c>
      <c r="AJ39" s="153">
        <f t="shared" si="10"/>
        <v>0</v>
      </c>
      <c r="AK39" s="155">
        <f>(SUM($P$31,$P$51)-SUM($AU$17:AU38))*$O$109</f>
        <v>0</v>
      </c>
      <c r="AL39" s="160"/>
      <c r="AM39" s="154">
        <f t="shared" si="11"/>
        <v>0</v>
      </c>
      <c r="AN39" s="161"/>
      <c r="AO39" s="152">
        <f t="shared" si="12"/>
        <v>0</v>
      </c>
      <c r="AP39" s="153">
        <f t="shared" si="13"/>
        <v>0</v>
      </c>
      <c r="AQ39" s="153">
        <f t="shared" si="14"/>
        <v>0</v>
      </c>
      <c r="AR39" s="156">
        <f t="shared" si="15"/>
        <v>0</v>
      </c>
      <c r="AS39" s="157">
        <f t="shared" si="16"/>
        <v>0</v>
      </c>
      <c r="AT39" s="156">
        <f t="shared" si="17"/>
        <v>0</v>
      </c>
      <c r="AU39" s="156">
        <f t="shared" si="18"/>
        <v>0</v>
      </c>
      <c r="AV39" s="156">
        <f t="shared" si="19"/>
        <v>0</v>
      </c>
      <c r="AW39" s="156">
        <f t="shared" si="20"/>
        <v>0</v>
      </c>
      <c r="AX39" s="156">
        <f t="shared" si="21"/>
        <v>0</v>
      </c>
      <c r="AY39" s="156">
        <f t="shared" si="22"/>
        <v>0</v>
      </c>
      <c r="AZ39" s="156">
        <f>IF(AND(SUM($AQ$16:AQ38)&gt;0,SUM($AZ$16:AZ38)&lt;$P$62,$W39&gt;=$P$65),$P$64,0)</f>
        <v>64.125</v>
      </c>
      <c r="BA39" s="156">
        <f>IF(SUM($AQ$17:$AQ38)&gt;0,($P$62-SUM($AZ$17:$AZ38))*$F$65,0)</f>
        <v>3.8474999999999997</v>
      </c>
      <c r="BB39" s="157">
        <f t="shared" si="23"/>
        <v>0</v>
      </c>
      <c r="BC39" s="153">
        <f t="shared" si="24"/>
        <v>0</v>
      </c>
      <c r="BD39" s="154">
        <f t="shared" si="25"/>
        <v>0</v>
      </c>
      <c r="BE39" s="48"/>
      <c r="BF39" s="46">
        <f t="shared" si="43"/>
        <v>0.4583514556736738</v>
      </c>
      <c r="BH39" s="152">
        <f t="shared" si="26"/>
        <v>0</v>
      </c>
      <c r="BI39" s="152">
        <f t="shared" si="27"/>
        <v>0</v>
      </c>
      <c r="BJ39" s="153">
        <f t="shared" si="28"/>
        <v>0</v>
      </c>
      <c r="BK39" s="153">
        <f t="shared" si="29"/>
        <v>0</v>
      </c>
      <c r="BL39" s="153">
        <f t="shared" si="30"/>
        <v>0</v>
      </c>
      <c r="BM39" s="153">
        <f t="shared" si="31"/>
        <v>0</v>
      </c>
      <c r="BN39" s="154">
        <f t="shared" si="32"/>
        <v>0</v>
      </c>
      <c r="BO39" s="153">
        <f t="shared" si="33"/>
        <v>0</v>
      </c>
      <c r="BP39" s="153">
        <f t="shared" si="34"/>
        <v>0</v>
      </c>
      <c r="BQ39" s="153">
        <f t="shared" si="35"/>
        <v>0</v>
      </c>
      <c r="BR39" s="153">
        <f t="shared" si="36"/>
        <v>0</v>
      </c>
      <c r="BS39" s="220">
        <f t="shared" si="37"/>
        <v>0</v>
      </c>
      <c r="BT39" s="153">
        <f t="shared" si="38"/>
        <v>0</v>
      </c>
      <c r="BU39" s="154">
        <f t="shared" si="39"/>
        <v>0</v>
      </c>
      <c r="BV39" s="154">
        <f t="shared" si="40"/>
        <v>0</v>
      </c>
      <c r="BW39" s="150"/>
      <c r="BX39" s="155">
        <f t="shared" si="41"/>
        <v>0</v>
      </c>
      <c r="BY39" s="273">
        <f t="shared" si="44"/>
        <v>0</v>
      </c>
      <c r="CA39"/>
    </row>
    <row r="40" spans="2:79" ht="15.75" customHeight="1">
      <c r="B40" t="s">
        <v>121</v>
      </c>
      <c r="D40" t="s">
        <v>7</v>
      </c>
      <c r="F40" s="136"/>
      <c r="H40" s="71" t="s">
        <v>122</v>
      </c>
      <c r="J40" s="4" t="s">
        <v>123</v>
      </c>
      <c r="V40" s="57">
        <f t="shared" si="42"/>
        <v>54148</v>
      </c>
      <c r="W40" s="6">
        <v>24</v>
      </c>
      <c r="X40" s="269" t="str">
        <f t="shared" si="0"/>
        <v>-</v>
      </c>
      <c r="Y40" s="158">
        <f t="shared" si="1"/>
        <v>0</v>
      </c>
      <c r="Z40" s="156">
        <f t="shared" si="2"/>
        <v>0</v>
      </c>
      <c r="AA40" s="156">
        <f t="shared" si="3"/>
        <v>0</v>
      </c>
      <c r="AB40" s="156">
        <f t="shared" si="4"/>
        <v>0</v>
      </c>
      <c r="AC40" s="157">
        <f t="shared" si="5"/>
        <v>0</v>
      </c>
      <c r="AD40" s="158">
        <f t="shared" si="6"/>
        <v>0</v>
      </c>
      <c r="AE40" s="156">
        <f t="shared" si="7"/>
        <v>0</v>
      </c>
      <c r="AF40" s="156">
        <f t="shared" si="8"/>
        <v>0</v>
      </c>
      <c r="AG40" s="156">
        <f>IF(AND(SUM($AA$16:AA39)&gt;0,SUM($AG$16:AG39)&lt;$O$62,$W40&gt;=$O$65),$O$64,0)</f>
        <v>64.125</v>
      </c>
      <c r="AH40" s="153">
        <f>IF(SUM($AA$17:$AA39)&gt;0,($O$62-SUM($AG$17:$AG39))*$F$65,0)</f>
        <v>2.8856250000000001</v>
      </c>
      <c r="AI40" s="157">
        <f t="shared" si="9"/>
        <v>0</v>
      </c>
      <c r="AJ40" s="153">
        <f t="shared" si="10"/>
        <v>0</v>
      </c>
      <c r="AK40" s="155">
        <f>(SUM($P$31,$P$51)-SUM($AU$17:AU39))*$O$109</f>
        <v>0</v>
      </c>
      <c r="AL40" s="160"/>
      <c r="AM40" s="154">
        <f t="shared" si="11"/>
        <v>0</v>
      </c>
      <c r="AN40" s="161"/>
      <c r="AO40" s="152">
        <f t="shared" si="12"/>
        <v>0</v>
      </c>
      <c r="AP40" s="153">
        <f t="shared" si="13"/>
        <v>0</v>
      </c>
      <c r="AQ40" s="153">
        <f t="shared" si="14"/>
        <v>0</v>
      </c>
      <c r="AR40" s="156">
        <f t="shared" si="15"/>
        <v>0</v>
      </c>
      <c r="AS40" s="157">
        <f t="shared" si="16"/>
        <v>0</v>
      </c>
      <c r="AT40" s="156">
        <f t="shared" si="17"/>
        <v>0</v>
      </c>
      <c r="AU40" s="156">
        <f t="shared" si="18"/>
        <v>0</v>
      </c>
      <c r="AV40" s="156">
        <f t="shared" si="19"/>
        <v>0</v>
      </c>
      <c r="AW40" s="156">
        <f t="shared" si="20"/>
        <v>0</v>
      </c>
      <c r="AX40" s="156">
        <f t="shared" si="21"/>
        <v>0</v>
      </c>
      <c r="AY40" s="156">
        <f t="shared" si="22"/>
        <v>0</v>
      </c>
      <c r="AZ40" s="156">
        <f>IF(AND(SUM($AQ$16:AQ39)&gt;0,SUM($AZ$16:AZ39)&lt;$P$62,$W40&gt;=$P$65),$P$64,0)</f>
        <v>64.125</v>
      </c>
      <c r="BA40" s="156">
        <f>IF(SUM($AQ$17:$AQ39)&gt;0,($P$62-SUM($AZ$17:$AZ39))*$F$65,0)</f>
        <v>2.8856250000000001</v>
      </c>
      <c r="BB40" s="157">
        <f t="shared" si="23"/>
        <v>0</v>
      </c>
      <c r="BC40" s="153">
        <f t="shared" si="24"/>
        <v>0</v>
      </c>
      <c r="BD40" s="154">
        <f t="shared" si="25"/>
        <v>0</v>
      </c>
      <c r="BE40" s="48"/>
      <c r="BF40" s="46">
        <f t="shared" si="43"/>
        <v>0.44306568938972818</v>
      </c>
      <c r="BH40" s="152">
        <f t="shared" si="26"/>
        <v>0</v>
      </c>
      <c r="BI40" s="152">
        <f t="shared" si="27"/>
        <v>0</v>
      </c>
      <c r="BJ40" s="153">
        <f t="shared" si="28"/>
        <v>0</v>
      </c>
      <c r="BK40" s="153">
        <f t="shared" si="29"/>
        <v>0</v>
      </c>
      <c r="BL40" s="153">
        <f t="shared" si="30"/>
        <v>0</v>
      </c>
      <c r="BM40" s="153">
        <f t="shared" si="31"/>
        <v>0</v>
      </c>
      <c r="BN40" s="154">
        <f t="shared" si="32"/>
        <v>0</v>
      </c>
      <c r="BO40" s="153">
        <f t="shared" si="33"/>
        <v>0</v>
      </c>
      <c r="BP40" s="153">
        <f t="shared" si="34"/>
        <v>0</v>
      </c>
      <c r="BQ40" s="153">
        <f t="shared" si="35"/>
        <v>0</v>
      </c>
      <c r="BR40" s="153">
        <f t="shared" si="36"/>
        <v>0</v>
      </c>
      <c r="BS40" s="220">
        <f t="shared" si="37"/>
        <v>0</v>
      </c>
      <c r="BT40" s="153">
        <f t="shared" si="38"/>
        <v>0</v>
      </c>
      <c r="BU40" s="154">
        <f t="shared" si="39"/>
        <v>0</v>
      </c>
      <c r="BV40" s="154">
        <f t="shared" si="40"/>
        <v>0</v>
      </c>
      <c r="BW40" s="150"/>
      <c r="BX40" s="155">
        <f t="shared" si="41"/>
        <v>0</v>
      </c>
      <c r="BY40" s="273">
        <f t="shared" si="44"/>
        <v>0</v>
      </c>
      <c r="CA40"/>
    </row>
    <row r="41" spans="2:79" ht="15.75" customHeight="1">
      <c r="C41" s="2" t="s">
        <v>105</v>
      </c>
      <c r="D41" t="s">
        <v>7</v>
      </c>
      <c r="F41" s="136"/>
      <c r="K41" t="s">
        <v>124</v>
      </c>
      <c r="N41" s="19" t="s">
        <v>7</v>
      </c>
      <c r="O41" s="52"/>
      <c r="P41" s="52"/>
      <c r="Q41" t="s">
        <v>106</v>
      </c>
      <c r="V41" s="57">
        <f t="shared" si="42"/>
        <v>54513</v>
      </c>
      <c r="W41" s="6">
        <v>25</v>
      </c>
      <c r="X41" s="269" t="str">
        <f t="shared" si="0"/>
        <v>-</v>
      </c>
      <c r="Y41" s="158">
        <f t="shared" si="1"/>
        <v>0</v>
      </c>
      <c r="Z41" s="156">
        <f t="shared" si="2"/>
        <v>0</v>
      </c>
      <c r="AA41" s="156">
        <f t="shared" si="3"/>
        <v>0</v>
      </c>
      <c r="AB41" s="156">
        <f t="shared" si="4"/>
        <v>0</v>
      </c>
      <c r="AC41" s="157">
        <f t="shared" si="5"/>
        <v>0</v>
      </c>
      <c r="AD41" s="158">
        <f t="shared" si="6"/>
        <v>0</v>
      </c>
      <c r="AE41" s="156">
        <f t="shared" si="7"/>
        <v>0</v>
      </c>
      <c r="AF41" s="156">
        <f t="shared" si="8"/>
        <v>0</v>
      </c>
      <c r="AG41" s="156">
        <f>IF(AND(SUM($AA$16:AA40)&gt;0,SUM($AG$16:AG40)&lt;$O$62,$W41&gt;=$O$65),$O$64,0)</f>
        <v>64.125</v>
      </c>
      <c r="AH41" s="153">
        <f>IF(SUM($AA$17:$AA40)&gt;0,($O$62-SUM($AG$17:$AG40))*$F$65,0)</f>
        <v>1.9237499999999998</v>
      </c>
      <c r="AI41" s="157">
        <f t="shared" si="9"/>
        <v>0</v>
      </c>
      <c r="AJ41" s="153">
        <f t="shared" si="10"/>
        <v>0</v>
      </c>
      <c r="AK41" s="155">
        <f>(SUM($P$31,$P$51)-SUM($AU$17:AU40))*$O$109</f>
        <v>0</v>
      </c>
      <c r="AL41" s="160"/>
      <c r="AM41" s="154">
        <f t="shared" si="11"/>
        <v>0</v>
      </c>
      <c r="AN41" s="161"/>
      <c r="AO41" s="152">
        <f t="shared" si="12"/>
        <v>0</v>
      </c>
      <c r="AP41" s="153">
        <f t="shared" si="13"/>
        <v>0</v>
      </c>
      <c r="AQ41" s="153">
        <f t="shared" si="14"/>
        <v>0</v>
      </c>
      <c r="AR41" s="156">
        <f t="shared" si="15"/>
        <v>0</v>
      </c>
      <c r="AS41" s="157">
        <f t="shared" si="16"/>
        <v>0</v>
      </c>
      <c r="AT41" s="156">
        <f t="shared" si="17"/>
        <v>0</v>
      </c>
      <c r="AU41" s="156">
        <f t="shared" si="18"/>
        <v>0</v>
      </c>
      <c r="AV41" s="156">
        <f t="shared" si="19"/>
        <v>0</v>
      </c>
      <c r="AW41" s="156">
        <f t="shared" si="20"/>
        <v>0</v>
      </c>
      <c r="AX41" s="156">
        <f t="shared" si="21"/>
        <v>0</v>
      </c>
      <c r="AY41" s="156">
        <f t="shared" si="22"/>
        <v>0</v>
      </c>
      <c r="AZ41" s="156">
        <f>IF(AND(SUM($AQ$16:AQ40)&gt;0,SUM($AZ$16:AZ40)&lt;$P$62,$W41&gt;=$P$65),$P$64,0)</f>
        <v>64.125</v>
      </c>
      <c r="BA41" s="156">
        <f>IF(SUM($AQ$17:$AQ40)&gt;0,($P$62-SUM($AZ$17:$AZ40))*$F$65,0)</f>
        <v>1.9237499999999998</v>
      </c>
      <c r="BB41" s="157">
        <f t="shared" si="23"/>
        <v>0</v>
      </c>
      <c r="BC41" s="153">
        <f t="shared" si="24"/>
        <v>0</v>
      </c>
      <c r="BD41" s="154">
        <f t="shared" si="25"/>
        <v>0</v>
      </c>
      <c r="BE41" s="48"/>
      <c r="BF41" s="46">
        <f t="shared" si="43"/>
        <v>0.42828969491515534</v>
      </c>
      <c r="BH41" s="152">
        <f t="shared" si="26"/>
        <v>0</v>
      </c>
      <c r="BI41" s="152">
        <f t="shared" si="27"/>
        <v>0</v>
      </c>
      <c r="BJ41" s="153">
        <f t="shared" si="28"/>
        <v>0</v>
      </c>
      <c r="BK41" s="153">
        <f t="shared" si="29"/>
        <v>0</v>
      </c>
      <c r="BL41" s="153">
        <f t="shared" si="30"/>
        <v>0</v>
      </c>
      <c r="BM41" s="153">
        <f t="shared" si="31"/>
        <v>0</v>
      </c>
      <c r="BN41" s="154">
        <f t="shared" si="32"/>
        <v>0</v>
      </c>
      <c r="BO41" s="153">
        <f t="shared" si="33"/>
        <v>0</v>
      </c>
      <c r="BP41" s="153">
        <f t="shared" si="34"/>
        <v>0</v>
      </c>
      <c r="BQ41" s="153">
        <f t="shared" si="35"/>
        <v>0</v>
      </c>
      <c r="BR41" s="153">
        <f t="shared" si="36"/>
        <v>0</v>
      </c>
      <c r="BS41" s="220">
        <f t="shared" si="37"/>
        <v>0</v>
      </c>
      <c r="BT41" s="153">
        <f t="shared" si="38"/>
        <v>0</v>
      </c>
      <c r="BU41" s="154">
        <f t="shared" si="39"/>
        <v>0</v>
      </c>
      <c r="BV41" s="154">
        <f t="shared" si="40"/>
        <v>0</v>
      </c>
      <c r="BW41" s="150"/>
      <c r="BX41" s="155">
        <f t="shared" si="41"/>
        <v>0</v>
      </c>
      <c r="BY41" s="273">
        <f t="shared" si="44"/>
        <v>0</v>
      </c>
      <c r="CA41"/>
    </row>
    <row r="42" spans="2:79" ht="15.75" customHeight="1">
      <c r="C42" s="2" t="s">
        <v>125</v>
      </c>
      <c r="D42" t="s">
        <v>7</v>
      </c>
      <c r="F42" s="136"/>
      <c r="K42" t="s">
        <v>126</v>
      </c>
      <c r="N42" s="19" t="s">
        <v>7</v>
      </c>
      <c r="O42" s="52"/>
      <c r="P42" s="52"/>
      <c r="Q42" t="s">
        <v>127</v>
      </c>
      <c r="V42" s="57">
        <f t="shared" si="42"/>
        <v>54878</v>
      </c>
      <c r="W42" s="6">
        <v>26</v>
      </c>
      <c r="X42" s="269" t="str">
        <f t="shared" si="0"/>
        <v>-</v>
      </c>
      <c r="Y42" s="158">
        <f t="shared" si="1"/>
        <v>0</v>
      </c>
      <c r="Z42" s="156">
        <f t="shared" si="2"/>
        <v>0</v>
      </c>
      <c r="AA42" s="156">
        <f t="shared" si="3"/>
        <v>0</v>
      </c>
      <c r="AB42" s="156">
        <f t="shared" si="4"/>
        <v>0</v>
      </c>
      <c r="AC42" s="157">
        <f t="shared" si="5"/>
        <v>0</v>
      </c>
      <c r="AD42" s="158">
        <f t="shared" si="6"/>
        <v>0</v>
      </c>
      <c r="AE42" s="156">
        <f t="shared" si="7"/>
        <v>0</v>
      </c>
      <c r="AF42" s="156">
        <f t="shared" si="8"/>
        <v>0</v>
      </c>
      <c r="AG42" s="156">
        <f>IF(AND(SUM($AA$16:AA41)&gt;0,SUM($AG$16:AG41)&lt;$O$62,$W42&gt;=$O$65),$O$64,0)</f>
        <v>64.125</v>
      </c>
      <c r="AH42" s="153">
        <f>IF(SUM($AA$17:$AA41)&gt;0,($O$62-SUM($AG$17:$AG41))*$F$65,0)</f>
        <v>0.96187499999999992</v>
      </c>
      <c r="AI42" s="157">
        <f t="shared" si="9"/>
        <v>0</v>
      </c>
      <c r="AJ42" s="153">
        <f t="shared" si="10"/>
        <v>0</v>
      </c>
      <c r="AK42" s="155">
        <f>(SUM($P$31,$P$51)-SUM($AU$17:AU41))*$O$109</f>
        <v>0</v>
      </c>
      <c r="AL42" s="160"/>
      <c r="AM42" s="154">
        <f t="shared" si="11"/>
        <v>0</v>
      </c>
      <c r="AN42" s="161"/>
      <c r="AO42" s="152">
        <f t="shared" si="12"/>
        <v>0</v>
      </c>
      <c r="AP42" s="153">
        <f t="shared" si="13"/>
        <v>0</v>
      </c>
      <c r="AQ42" s="153">
        <f t="shared" si="14"/>
        <v>0</v>
      </c>
      <c r="AR42" s="156">
        <f t="shared" si="15"/>
        <v>0</v>
      </c>
      <c r="AS42" s="157">
        <f t="shared" si="16"/>
        <v>0</v>
      </c>
      <c r="AT42" s="156">
        <f t="shared" si="17"/>
        <v>0</v>
      </c>
      <c r="AU42" s="156">
        <f t="shared" si="18"/>
        <v>0</v>
      </c>
      <c r="AV42" s="156">
        <f t="shared" si="19"/>
        <v>0</v>
      </c>
      <c r="AW42" s="156">
        <f t="shared" si="20"/>
        <v>0</v>
      </c>
      <c r="AX42" s="156">
        <f t="shared" si="21"/>
        <v>0</v>
      </c>
      <c r="AY42" s="156">
        <f t="shared" si="22"/>
        <v>0</v>
      </c>
      <c r="AZ42" s="156">
        <f>IF(AND(SUM($AQ$16:AQ41)&gt;0,SUM($AZ$16:AZ41)&lt;$P$62,$W42&gt;=$P$65),$P$64,0)</f>
        <v>64.125</v>
      </c>
      <c r="BA42" s="156">
        <f>IF(SUM($AQ$17:$AQ41)&gt;0,($P$62-SUM($AZ$17:$AZ41))*$F$65,0)</f>
        <v>0.96187499999999992</v>
      </c>
      <c r="BB42" s="157">
        <f t="shared" si="23"/>
        <v>0</v>
      </c>
      <c r="BC42" s="153">
        <f t="shared" si="24"/>
        <v>0</v>
      </c>
      <c r="BD42" s="154">
        <f t="shared" si="25"/>
        <v>0</v>
      </c>
      <c r="BE42" s="48"/>
      <c r="BF42" s="46">
        <f t="shared" si="43"/>
        <v>0.41400647164345611</v>
      </c>
      <c r="BH42" s="152">
        <f t="shared" si="26"/>
        <v>0</v>
      </c>
      <c r="BI42" s="152">
        <f t="shared" si="27"/>
        <v>0</v>
      </c>
      <c r="BJ42" s="153">
        <f t="shared" si="28"/>
        <v>0</v>
      </c>
      <c r="BK42" s="153">
        <f t="shared" si="29"/>
        <v>0</v>
      </c>
      <c r="BL42" s="153">
        <f t="shared" si="30"/>
        <v>0</v>
      </c>
      <c r="BM42" s="153">
        <f t="shared" si="31"/>
        <v>0</v>
      </c>
      <c r="BN42" s="154">
        <f t="shared" si="32"/>
        <v>0</v>
      </c>
      <c r="BO42" s="153">
        <f t="shared" si="33"/>
        <v>0</v>
      </c>
      <c r="BP42" s="153">
        <f t="shared" si="34"/>
        <v>0</v>
      </c>
      <c r="BQ42" s="153">
        <f t="shared" si="35"/>
        <v>0</v>
      </c>
      <c r="BR42" s="153">
        <f t="shared" si="36"/>
        <v>0</v>
      </c>
      <c r="BS42" s="220">
        <f t="shared" si="37"/>
        <v>0</v>
      </c>
      <c r="BT42" s="153">
        <f t="shared" si="38"/>
        <v>0</v>
      </c>
      <c r="BU42" s="154">
        <f t="shared" si="39"/>
        <v>0</v>
      </c>
      <c r="BV42" s="154">
        <f t="shared" si="40"/>
        <v>0</v>
      </c>
      <c r="BW42" s="150"/>
      <c r="BX42" s="155">
        <f t="shared" si="41"/>
        <v>0</v>
      </c>
      <c r="BY42" s="273">
        <f t="shared" si="44"/>
        <v>0</v>
      </c>
      <c r="CA42"/>
    </row>
    <row r="43" spans="2:79" ht="15.75" customHeight="1">
      <c r="B43" t="s">
        <v>128</v>
      </c>
      <c r="E43" s="19" t="s">
        <v>2</v>
      </c>
      <c r="F43" s="19" t="s">
        <v>50</v>
      </c>
      <c r="K43" t="s">
        <v>129</v>
      </c>
      <c r="N43" s="19" t="s">
        <v>7</v>
      </c>
      <c r="O43" s="52"/>
      <c r="P43" s="52"/>
      <c r="V43" s="57">
        <f t="shared" si="42"/>
        <v>55243</v>
      </c>
      <c r="W43" s="6">
        <v>27</v>
      </c>
      <c r="X43" s="269" t="str">
        <f t="shared" si="0"/>
        <v>-</v>
      </c>
      <c r="Y43" s="158">
        <f t="shared" si="1"/>
        <v>0</v>
      </c>
      <c r="Z43" s="156">
        <f t="shared" si="2"/>
        <v>0</v>
      </c>
      <c r="AA43" s="156">
        <f t="shared" si="3"/>
        <v>0</v>
      </c>
      <c r="AB43" s="156">
        <f t="shared" si="4"/>
        <v>0</v>
      </c>
      <c r="AC43" s="157">
        <f t="shared" si="5"/>
        <v>0</v>
      </c>
      <c r="AD43" s="158">
        <f t="shared" si="6"/>
        <v>0</v>
      </c>
      <c r="AE43" s="156">
        <f t="shared" si="7"/>
        <v>0</v>
      </c>
      <c r="AF43" s="156">
        <f t="shared" si="8"/>
        <v>0</v>
      </c>
      <c r="AG43" s="156">
        <f>IF(AND(SUM($AA$16:AA42)&gt;0,SUM($AG$16:AG42)&lt;$O$62,$W43&gt;=$O$65),$O$64,0)</f>
        <v>0</v>
      </c>
      <c r="AH43" s="153">
        <f>IF(SUM($AA$17:$AA42)&gt;0,($O$62-SUM($AG$17:$AG42))*$F$65,0)</f>
        <v>0</v>
      </c>
      <c r="AI43" s="157">
        <f t="shared" si="9"/>
        <v>0</v>
      </c>
      <c r="AJ43" s="153">
        <f t="shared" si="10"/>
        <v>0</v>
      </c>
      <c r="AK43" s="155">
        <f>(SUM($P$31,$P$51)-SUM($AU$17:AU42))*$O$109</f>
        <v>0</v>
      </c>
      <c r="AL43" s="160"/>
      <c r="AM43" s="154">
        <f t="shared" si="11"/>
        <v>0</v>
      </c>
      <c r="AN43" s="161"/>
      <c r="AO43" s="152">
        <f t="shared" si="12"/>
        <v>0</v>
      </c>
      <c r="AP43" s="153">
        <f t="shared" si="13"/>
        <v>0</v>
      </c>
      <c r="AQ43" s="153">
        <f t="shared" si="14"/>
        <v>0</v>
      </c>
      <c r="AR43" s="156">
        <f t="shared" si="15"/>
        <v>0</v>
      </c>
      <c r="AS43" s="157">
        <f t="shared" si="16"/>
        <v>0</v>
      </c>
      <c r="AT43" s="156">
        <f t="shared" si="17"/>
        <v>0</v>
      </c>
      <c r="AU43" s="156">
        <f t="shared" si="18"/>
        <v>0</v>
      </c>
      <c r="AV43" s="156">
        <f t="shared" si="19"/>
        <v>0</v>
      </c>
      <c r="AW43" s="156">
        <f t="shared" si="20"/>
        <v>0</v>
      </c>
      <c r="AX43" s="156">
        <f t="shared" si="21"/>
        <v>0</v>
      </c>
      <c r="AY43" s="156">
        <f t="shared" si="22"/>
        <v>0</v>
      </c>
      <c r="AZ43" s="156">
        <f>IF(AND(SUM($AQ$16:AQ42)&gt;0,SUM($AZ$16:AZ42)&lt;$P$62,$W43&gt;=$P$65),$P$64,0)</f>
        <v>0</v>
      </c>
      <c r="BA43" s="156">
        <f>IF(SUM($AQ$17:$AQ42)&gt;0,($P$62-SUM($AZ$17:$AZ42))*$F$65,0)</f>
        <v>0</v>
      </c>
      <c r="BB43" s="157">
        <f t="shared" si="23"/>
        <v>0</v>
      </c>
      <c r="BC43" s="153">
        <f t="shared" si="24"/>
        <v>0</v>
      </c>
      <c r="BD43" s="154">
        <f t="shared" si="25"/>
        <v>0</v>
      </c>
      <c r="BE43" s="48"/>
      <c r="BF43" s="46">
        <f t="shared" si="43"/>
        <v>0.40019958592890875</v>
      </c>
      <c r="BH43" s="152">
        <f t="shared" si="26"/>
        <v>0</v>
      </c>
      <c r="BI43" s="152">
        <f t="shared" si="27"/>
        <v>0</v>
      </c>
      <c r="BJ43" s="153">
        <f t="shared" si="28"/>
        <v>0</v>
      </c>
      <c r="BK43" s="153">
        <f t="shared" si="29"/>
        <v>0</v>
      </c>
      <c r="BL43" s="153">
        <f t="shared" si="30"/>
        <v>0</v>
      </c>
      <c r="BM43" s="153">
        <f t="shared" si="31"/>
        <v>0</v>
      </c>
      <c r="BN43" s="154">
        <f t="shared" si="32"/>
        <v>0</v>
      </c>
      <c r="BO43" s="153">
        <f t="shared" si="33"/>
        <v>0</v>
      </c>
      <c r="BP43" s="153">
        <f t="shared" si="34"/>
        <v>0</v>
      </c>
      <c r="BQ43" s="153">
        <f t="shared" si="35"/>
        <v>0</v>
      </c>
      <c r="BR43" s="153">
        <f t="shared" si="36"/>
        <v>0</v>
      </c>
      <c r="BS43" s="220">
        <f t="shared" si="37"/>
        <v>0</v>
      </c>
      <c r="BT43" s="153">
        <f t="shared" si="38"/>
        <v>0</v>
      </c>
      <c r="BU43" s="154">
        <f t="shared" si="39"/>
        <v>0</v>
      </c>
      <c r="BV43" s="154">
        <f t="shared" si="40"/>
        <v>0</v>
      </c>
      <c r="BW43" s="150"/>
      <c r="BX43" s="155">
        <f t="shared" si="41"/>
        <v>0</v>
      </c>
      <c r="BY43" s="273">
        <f t="shared" si="44"/>
        <v>0</v>
      </c>
      <c r="CA43"/>
    </row>
    <row r="44" spans="2:79" ht="15.75" customHeight="1">
      <c r="C44" s="265" t="s">
        <v>130</v>
      </c>
      <c r="D44" t="s">
        <v>7</v>
      </c>
      <c r="E44" s="266"/>
      <c r="F44" s="187">
        <v>25</v>
      </c>
      <c r="K44" t="s">
        <v>131</v>
      </c>
      <c r="N44" s="19" t="s">
        <v>7</v>
      </c>
      <c r="O44" s="21">
        <f>O41*$F$17</f>
        <v>0</v>
      </c>
      <c r="P44" s="21">
        <f>P43*$F$17</f>
        <v>0</v>
      </c>
      <c r="V44" s="57">
        <f t="shared" si="42"/>
        <v>55609</v>
      </c>
      <c r="W44" s="6">
        <v>28</v>
      </c>
      <c r="X44" s="269" t="str">
        <f t="shared" si="0"/>
        <v>-</v>
      </c>
      <c r="Y44" s="158">
        <f t="shared" si="1"/>
        <v>0</v>
      </c>
      <c r="Z44" s="156">
        <f t="shared" si="2"/>
        <v>0</v>
      </c>
      <c r="AA44" s="156">
        <f t="shared" si="3"/>
        <v>0</v>
      </c>
      <c r="AB44" s="156">
        <f t="shared" si="4"/>
        <v>0</v>
      </c>
      <c r="AC44" s="157">
        <f t="shared" si="5"/>
        <v>0</v>
      </c>
      <c r="AD44" s="158">
        <f t="shared" si="6"/>
        <v>0</v>
      </c>
      <c r="AE44" s="156">
        <f t="shared" si="7"/>
        <v>0</v>
      </c>
      <c r="AF44" s="156">
        <f t="shared" si="8"/>
        <v>0</v>
      </c>
      <c r="AG44" s="156">
        <f>IF(AND(SUM($AA$16:AA43)&gt;0,SUM($AG$16:AG43)&lt;$O$62,$W44&gt;=$O$65),$O$64,0)</f>
        <v>0</v>
      </c>
      <c r="AH44" s="153">
        <f>IF(SUM($AA$17:$AA43)&gt;0,($O$62-SUM($AG$17:$AG43))*$F$65,0)</f>
        <v>0</v>
      </c>
      <c r="AI44" s="157">
        <f t="shared" si="9"/>
        <v>0</v>
      </c>
      <c r="AJ44" s="153">
        <f t="shared" si="10"/>
        <v>0</v>
      </c>
      <c r="AK44" s="155">
        <f>(SUM($P$31,$P$51)-SUM($AU$17:AU43))*$O$109</f>
        <v>0</v>
      </c>
      <c r="AL44" s="160"/>
      <c r="AM44" s="154">
        <f t="shared" si="11"/>
        <v>0</v>
      </c>
      <c r="AN44" s="161"/>
      <c r="AO44" s="152">
        <f t="shared" si="12"/>
        <v>0</v>
      </c>
      <c r="AP44" s="153">
        <f t="shared" si="13"/>
        <v>0</v>
      </c>
      <c r="AQ44" s="153">
        <f t="shared" si="14"/>
        <v>0</v>
      </c>
      <c r="AR44" s="156">
        <f t="shared" si="15"/>
        <v>0</v>
      </c>
      <c r="AS44" s="157">
        <f t="shared" si="16"/>
        <v>0</v>
      </c>
      <c r="AT44" s="156">
        <f t="shared" si="17"/>
        <v>0</v>
      </c>
      <c r="AU44" s="156">
        <f t="shared" si="18"/>
        <v>0</v>
      </c>
      <c r="AV44" s="156">
        <f t="shared" si="19"/>
        <v>0</v>
      </c>
      <c r="AW44" s="156">
        <f t="shared" si="20"/>
        <v>0</v>
      </c>
      <c r="AX44" s="156">
        <f t="shared" si="21"/>
        <v>0</v>
      </c>
      <c r="AY44" s="156">
        <f t="shared" si="22"/>
        <v>0</v>
      </c>
      <c r="AZ44" s="156">
        <f>IF(AND(SUM($AQ$16:AQ43)&gt;0,SUM($AZ$16:AZ43)&lt;$P$62,$W44&gt;=$P$65),$P$64,0)</f>
        <v>0</v>
      </c>
      <c r="BA44" s="156">
        <f>IF(SUM($AQ$17:$AQ43)&gt;0,($P$62-SUM($AZ$17:$AZ43))*$F$65,0)</f>
        <v>0</v>
      </c>
      <c r="BB44" s="157">
        <f t="shared" si="23"/>
        <v>0</v>
      </c>
      <c r="BC44" s="153">
        <f t="shared" si="24"/>
        <v>0</v>
      </c>
      <c r="BD44" s="154">
        <f t="shared" si="25"/>
        <v>0</v>
      </c>
      <c r="BE44" s="48"/>
      <c r="BF44" s="46">
        <f t="shared" si="43"/>
        <v>0.38685315217874217</v>
      </c>
      <c r="BH44" s="152">
        <f t="shared" si="26"/>
        <v>0</v>
      </c>
      <c r="BI44" s="152">
        <f t="shared" si="27"/>
        <v>0</v>
      </c>
      <c r="BJ44" s="153">
        <f t="shared" si="28"/>
        <v>0</v>
      </c>
      <c r="BK44" s="153">
        <f t="shared" si="29"/>
        <v>0</v>
      </c>
      <c r="BL44" s="153">
        <f t="shared" si="30"/>
        <v>0</v>
      </c>
      <c r="BM44" s="153">
        <f t="shared" si="31"/>
        <v>0</v>
      </c>
      <c r="BN44" s="154">
        <f t="shared" si="32"/>
        <v>0</v>
      </c>
      <c r="BO44" s="153">
        <f t="shared" si="33"/>
        <v>0</v>
      </c>
      <c r="BP44" s="153">
        <f t="shared" si="34"/>
        <v>0</v>
      </c>
      <c r="BQ44" s="153">
        <f t="shared" si="35"/>
        <v>0</v>
      </c>
      <c r="BR44" s="153">
        <f t="shared" si="36"/>
        <v>0</v>
      </c>
      <c r="BS44" s="220">
        <f t="shared" si="37"/>
        <v>0</v>
      </c>
      <c r="BT44" s="153">
        <f t="shared" si="38"/>
        <v>0</v>
      </c>
      <c r="BU44" s="154">
        <f t="shared" si="39"/>
        <v>0</v>
      </c>
      <c r="BV44" s="154">
        <f t="shared" si="40"/>
        <v>0</v>
      </c>
      <c r="BW44" s="150"/>
      <c r="BX44" s="155">
        <f t="shared" si="41"/>
        <v>0</v>
      </c>
      <c r="BY44" s="273">
        <f t="shared" si="44"/>
        <v>0</v>
      </c>
      <c r="CA44"/>
    </row>
    <row r="45" spans="2:79" ht="15.75" customHeight="1">
      <c r="C45" t="s">
        <v>132</v>
      </c>
      <c r="D45" t="s">
        <v>7</v>
      </c>
      <c r="E45" s="187">
        <v>10</v>
      </c>
      <c r="F45" s="187">
        <v>6</v>
      </c>
      <c r="V45" s="57">
        <f t="shared" si="42"/>
        <v>55974</v>
      </c>
      <c r="W45" s="6">
        <v>29</v>
      </c>
      <c r="X45" s="269" t="str">
        <f t="shared" si="0"/>
        <v>-</v>
      </c>
      <c r="Y45" s="158">
        <f t="shared" si="1"/>
        <v>0</v>
      </c>
      <c r="Z45" s="156">
        <f t="shared" si="2"/>
        <v>0</v>
      </c>
      <c r="AA45" s="156">
        <f t="shared" si="3"/>
        <v>0</v>
      </c>
      <c r="AB45" s="156">
        <f t="shared" si="4"/>
        <v>0</v>
      </c>
      <c r="AC45" s="157">
        <f t="shared" si="5"/>
        <v>0</v>
      </c>
      <c r="AD45" s="158">
        <f t="shared" si="6"/>
        <v>0</v>
      </c>
      <c r="AE45" s="156">
        <f t="shared" si="7"/>
        <v>0</v>
      </c>
      <c r="AF45" s="156">
        <f t="shared" si="8"/>
        <v>0</v>
      </c>
      <c r="AG45" s="156">
        <f>IF(AND(SUM($AA$16:AA44)&gt;0,SUM($AG$16:AG44)&lt;$O$62,$W45&gt;=$O$65),$O$64,0)</f>
        <v>0</v>
      </c>
      <c r="AH45" s="153">
        <f>IF(SUM($AA$17:$AA44)&gt;0,($O$62-SUM($AG$17:$AG44))*$F$65,0)</f>
        <v>0</v>
      </c>
      <c r="AI45" s="157">
        <f t="shared" si="9"/>
        <v>0</v>
      </c>
      <c r="AJ45" s="153">
        <f t="shared" si="10"/>
        <v>0</v>
      </c>
      <c r="AK45" s="155">
        <f>(SUM($P$31,$P$51)-SUM($AU$17:AU44))*$O$109</f>
        <v>0</v>
      </c>
      <c r="AL45" s="160"/>
      <c r="AM45" s="154">
        <f t="shared" si="11"/>
        <v>0</v>
      </c>
      <c r="AN45" s="161"/>
      <c r="AO45" s="152">
        <f t="shared" si="12"/>
        <v>0</v>
      </c>
      <c r="AP45" s="153">
        <f t="shared" si="13"/>
        <v>0</v>
      </c>
      <c r="AQ45" s="153">
        <f t="shared" si="14"/>
        <v>0</v>
      </c>
      <c r="AR45" s="156">
        <f t="shared" si="15"/>
        <v>0</v>
      </c>
      <c r="AS45" s="157">
        <f t="shared" si="16"/>
        <v>0</v>
      </c>
      <c r="AT45" s="156">
        <f t="shared" si="17"/>
        <v>0</v>
      </c>
      <c r="AU45" s="156">
        <f t="shared" si="18"/>
        <v>0</v>
      </c>
      <c r="AV45" s="156">
        <f t="shared" si="19"/>
        <v>0</v>
      </c>
      <c r="AW45" s="156">
        <f t="shared" si="20"/>
        <v>0</v>
      </c>
      <c r="AX45" s="156">
        <f t="shared" si="21"/>
        <v>0</v>
      </c>
      <c r="AY45" s="156">
        <f t="shared" si="22"/>
        <v>0</v>
      </c>
      <c r="AZ45" s="156">
        <f>IF(AND(SUM($AQ$16:AQ44)&gt;0,SUM($AZ$16:AZ44)&lt;$P$62,$W45&gt;=$P$65),$P$64,0)</f>
        <v>0</v>
      </c>
      <c r="BA45" s="156">
        <f>IF(SUM($AQ$17:$AQ44)&gt;0,($P$62-SUM($AZ$17:$AZ44))*$F$65,0)</f>
        <v>0</v>
      </c>
      <c r="BB45" s="157">
        <f t="shared" si="23"/>
        <v>0</v>
      </c>
      <c r="BC45" s="153">
        <f t="shared" si="24"/>
        <v>0</v>
      </c>
      <c r="BD45" s="154">
        <f t="shared" si="25"/>
        <v>0</v>
      </c>
      <c r="BE45" s="48"/>
      <c r="BF45" s="46">
        <f t="shared" si="43"/>
        <v>0.37395181457587451</v>
      </c>
      <c r="BH45" s="152">
        <f t="shared" si="26"/>
        <v>0</v>
      </c>
      <c r="BI45" s="152">
        <f t="shared" si="27"/>
        <v>0</v>
      </c>
      <c r="BJ45" s="153">
        <f t="shared" si="28"/>
        <v>0</v>
      </c>
      <c r="BK45" s="153">
        <f t="shared" si="29"/>
        <v>0</v>
      </c>
      <c r="BL45" s="153">
        <f t="shared" si="30"/>
        <v>0</v>
      </c>
      <c r="BM45" s="153">
        <f t="shared" si="31"/>
        <v>0</v>
      </c>
      <c r="BN45" s="154">
        <f t="shared" si="32"/>
        <v>0</v>
      </c>
      <c r="BO45" s="153">
        <f t="shared" si="33"/>
        <v>0</v>
      </c>
      <c r="BP45" s="153">
        <f t="shared" si="34"/>
        <v>0</v>
      </c>
      <c r="BQ45" s="153">
        <f t="shared" si="35"/>
        <v>0</v>
      </c>
      <c r="BR45" s="153">
        <f t="shared" si="36"/>
        <v>0</v>
      </c>
      <c r="BS45" s="220">
        <f t="shared" si="37"/>
        <v>0</v>
      </c>
      <c r="BT45" s="153">
        <f t="shared" si="38"/>
        <v>0</v>
      </c>
      <c r="BU45" s="154">
        <f t="shared" si="39"/>
        <v>0</v>
      </c>
      <c r="BV45" s="154">
        <f t="shared" si="40"/>
        <v>0</v>
      </c>
      <c r="BW45" s="150"/>
      <c r="BX45" s="155">
        <f t="shared" si="41"/>
        <v>0</v>
      </c>
      <c r="BY45" s="273">
        <f t="shared" si="44"/>
        <v>0</v>
      </c>
      <c r="CA45"/>
    </row>
    <row r="46" spans="2:79" ht="15.75" customHeight="1">
      <c r="B46" t="s">
        <v>133</v>
      </c>
      <c r="J46" s="4" t="s">
        <v>134</v>
      </c>
      <c r="V46" s="57">
        <f t="shared" si="42"/>
        <v>56339</v>
      </c>
      <c r="W46" s="6">
        <v>30</v>
      </c>
      <c r="X46" s="269" t="str">
        <f t="shared" si="0"/>
        <v>-</v>
      </c>
      <c r="Y46" s="158">
        <f t="shared" si="1"/>
        <v>0</v>
      </c>
      <c r="Z46" s="156">
        <f t="shared" si="2"/>
        <v>0</v>
      </c>
      <c r="AA46" s="156">
        <f t="shared" si="3"/>
        <v>0</v>
      </c>
      <c r="AB46" s="156">
        <f t="shared" si="4"/>
        <v>0</v>
      </c>
      <c r="AC46" s="157">
        <f t="shared" si="5"/>
        <v>0</v>
      </c>
      <c r="AD46" s="158">
        <f t="shared" si="6"/>
        <v>0</v>
      </c>
      <c r="AE46" s="156">
        <f t="shared" si="7"/>
        <v>0</v>
      </c>
      <c r="AF46" s="156">
        <f t="shared" si="8"/>
        <v>0</v>
      </c>
      <c r="AG46" s="156">
        <f>IF(AND(SUM($AA$16:AA45)&gt;0,SUM($AG$16:AG45)&lt;$O$62,$W46&gt;=$O$65),$O$64,0)</f>
        <v>0</v>
      </c>
      <c r="AH46" s="153">
        <f>IF(SUM($AA$17:$AA45)&gt;0,($O$62-SUM($AG$17:$AG45))*$F$65,0)</f>
        <v>0</v>
      </c>
      <c r="AI46" s="157">
        <f t="shared" si="9"/>
        <v>0</v>
      </c>
      <c r="AJ46" s="153">
        <f t="shared" si="10"/>
        <v>0</v>
      </c>
      <c r="AK46" s="155">
        <f>(SUM($P$31,$P$51)-SUM($AU$17:AU45))*$O$109</f>
        <v>0</v>
      </c>
      <c r="AL46" s="160"/>
      <c r="AM46" s="154">
        <f t="shared" si="11"/>
        <v>0</v>
      </c>
      <c r="AN46" s="161"/>
      <c r="AO46" s="152">
        <f t="shared" si="12"/>
        <v>0</v>
      </c>
      <c r="AP46" s="153">
        <f t="shared" si="13"/>
        <v>0</v>
      </c>
      <c r="AQ46" s="153">
        <f t="shared" si="14"/>
        <v>0</v>
      </c>
      <c r="AR46" s="156">
        <f t="shared" si="15"/>
        <v>0</v>
      </c>
      <c r="AS46" s="157">
        <f t="shared" si="16"/>
        <v>0</v>
      </c>
      <c r="AT46" s="156">
        <f t="shared" si="17"/>
        <v>0</v>
      </c>
      <c r="AU46" s="156">
        <f t="shared" si="18"/>
        <v>0</v>
      </c>
      <c r="AV46" s="156">
        <f t="shared" si="19"/>
        <v>0</v>
      </c>
      <c r="AW46" s="156">
        <f t="shared" si="20"/>
        <v>0</v>
      </c>
      <c r="AX46" s="156">
        <f t="shared" si="21"/>
        <v>0</v>
      </c>
      <c r="AY46" s="156">
        <f t="shared" si="22"/>
        <v>0</v>
      </c>
      <c r="AZ46" s="156">
        <f>IF(AND(SUM($AQ$16:AQ45)&gt;0,SUM($AZ$16:AZ45)&lt;$P$62,$W46&gt;=$P$65),$P$64,0)</f>
        <v>0</v>
      </c>
      <c r="BA46" s="156">
        <f>IF(SUM($AQ$17:$AQ45)&gt;0,($P$62-SUM($AZ$17:$AZ45))*$F$65,0)</f>
        <v>0</v>
      </c>
      <c r="BB46" s="157">
        <f t="shared" si="23"/>
        <v>0</v>
      </c>
      <c r="BC46" s="153">
        <f t="shared" si="24"/>
        <v>0</v>
      </c>
      <c r="BD46" s="154">
        <f t="shared" si="25"/>
        <v>0</v>
      </c>
      <c r="BE46" s="48"/>
      <c r="BF46" s="47">
        <f t="shared" si="43"/>
        <v>0.36148072941118853</v>
      </c>
      <c r="BH46" s="152">
        <f t="shared" si="26"/>
        <v>0</v>
      </c>
      <c r="BI46" s="152">
        <f t="shared" si="27"/>
        <v>0</v>
      </c>
      <c r="BJ46" s="153">
        <f t="shared" si="28"/>
        <v>0</v>
      </c>
      <c r="BK46" s="153">
        <f t="shared" si="29"/>
        <v>0</v>
      </c>
      <c r="BL46" s="153">
        <f t="shared" si="30"/>
        <v>0</v>
      </c>
      <c r="BM46" s="156">
        <f t="shared" si="31"/>
        <v>0</v>
      </c>
      <c r="BN46" s="157">
        <f t="shared" si="32"/>
        <v>0</v>
      </c>
      <c r="BO46" s="153">
        <f t="shared" si="33"/>
        <v>0</v>
      </c>
      <c r="BP46" s="153">
        <f t="shared" si="34"/>
        <v>0</v>
      </c>
      <c r="BQ46" s="153">
        <f t="shared" si="35"/>
        <v>0</v>
      </c>
      <c r="BR46" s="153">
        <f t="shared" si="36"/>
        <v>0</v>
      </c>
      <c r="BS46" s="220">
        <f t="shared" si="37"/>
        <v>0</v>
      </c>
      <c r="BT46" s="153">
        <f t="shared" si="38"/>
        <v>0</v>
      </c>
      <c r="BU46" s="157">
        <f t="shared" si="39"/>
        <v>0</v>
      </c>
      <c r="BV46" s="157">
        <f t="shared" si="40"/>
        <v>0</v>
      </c>
      <c r="BW46" s="150"/>
      <c r="BX46" s="155">
        <f t="shared" si="41"/>
        <v>0</v>
      </c>
      <c r="BY46" s="273">
        <f t="shared" si="44"/>
        <v>0</v>
      </c>
      <c r="CA46"/>
    </row>
    <row r="47" spans="2:79" ht="15.75" customHeight="1">
      <c r="F47" s="72">
        <v>1</v>
      </c>
      <c r="G47">
        <v>0</v>
      </c>
      <c r="H47" t="s">
        <v>135</v>
      </c>
      <c r="K47" t="s">
        <v>136</v>
      </c>
      <c r="V47" s="57">
        <f t="shared" si="42"/>
        <v>56704</v>
      </c>
      <c r="W47" s="6">
        <v>31</v>
      </c>
      <c r="X47" s="269" t="str">
        <f t="shared" si="0"/>
        <v>-</v>
      </c>
      <c r="Y47" s="158">
        <f t="shared" si="1"/>
        <v>0</v>
      </c>
      <c r="Z47" s="156">
        <f t="shared" si="2"/>
        <v>0</v>
      </c>
      <c r="AA47" s="156">
        <f t="shared" si="3"/>
        <v>0</v>
      </c>
      <c r="AB47" s="156">
        <f t="shared" si="4"/>
        <v>0</v>
      </c>
      <c r="AC47" s="157">
        <f t="shared" si="5"/>
        <v>0</v>
      </c>
      <c r="AD47" s="158">
        <f t="shared" si="6"/>
        <v>0</v>
      </c>
      <c r="AE47" s="156">
        <f t="shared" si="7"/>
        <v>0</v>
      </c>
      <c r="AF47" s="156">
        <f t="shared" si="8"/>
        <v>0</v>
      </c>
      <c r="AG47" s="156">
        <f>IF(AND(SUM($AA$16:AA46)&gt;0,SUM($AG$16:AG46)&lt;$O$62,$W47&gt;=$O$65),$O$64,0)</f>
        <v>0</v>
      </c>
      <c r="AH47" s="153">
        <f>IF(SUM($AA$17:$AA46)&gt;0,($O$62-SUM($AG$17:$AG46))*$F$65,0)</f>
        <v>0</v>
      </c>
      <c r="AI47" s="157">
        <f t="shared" si="9"/>
        <v>0</v>
      </c>
      <c r="AJ47" s="153">
        <f t="shared" si="10"/>
        <v>0</v>
      </c>
      <c r="AK47" s="155">
        <f>(SUM($P$31,$P$51)-SUM($AU$17:AU46))*$O$109</f>
        <v>0</v>
      </c>
      <c r="AL47" s="160"/>
      <c r="AM47" s="154">
        <f t="shared" si="11"/>
        <v>0</v>
      </c>
      <c r="AN47" s="161"/>
      <c r="AO47" s="152">
        <f t="shared" si="12"/>
        <v>0</v>
      </c>
      <c r="AP47" s="153">
        <f t="shared" si="13"/>
        <v>0</v>
      </c>
      <c r="AQ47" s="153">
        <f t="shared" si="14"/>
        <v>0</v>
      </c>
      <c r="AR47" s="156">
        <f t="shared" si="15"/>
        <v>0</v>
      </c>
      <c r="AS47" s="157">
        <f t="shared" si="16"/>
        <v>0</v>
      </c>
      <c r="AT47" s="156">
        <f t="shared" si="17"/>
        <v>0</v>
      </c>
      <c r="AU47" s="156">
        <f t="shared" si="18"/>
        <v>0</v>
      </c>
      <c r="AV47" s="156">
        <f t="shared" si="19"/>
        <v>0</v>
      </c>
      <c r="AW47" s="156">
        <f t="shared" si="20"/>
        <v>0</v>
      </c>
      <c r="AX47" s="156">
        <f t="shared" si="21"/>
        <v>0</v>
      </c>
      <c r="AY47" s="156">
        <f t="shared" si="22"/>
        <v>0</v>
      </c>
      <c r="AZ47" s="156">
        <f>IF(AND(SUM($AQ$16:AQ46)&gt;0,SUM($AZ$16:AZ46)&lt;$P$62,$W47&gt;=$P$65),$P$64,0)</f>
        <v>0</v>
      </c>
      <c r="BA47" s="156">
        <f>IF(SUM($AQ$17:$AQ46)&gt;0,($P$62-SUM($AZ$17:$AZ46))*$F$65,0)</f>
        <v>0</v>
      </c>
      <c r="BB47" s="157">
        <f t="shared" si="23"/>
        <v>0</v>
      </c>
      <c r="BC47" s="153">
        <f t="shared" si="24"/>
        <v>0</v>
      </c>
      <c r="BD47" s="154">
        <f t="shared" si="25"/>
        <v>0</v>
      </c>
      <c r="BE47" s="48"/>
      <c r="BF47" s="47">
        <f t="shared" si="43"/>
        <v>0.34942554800501552</v>
      </c>
      <c r="BH47" s="152">
        <f t="shared" si="26"/>
        <v>0</v>
      </c>
      <c r="BI47" s="152">
        <f t="shared" si="27"/>
        <v>0</v>
      </c>
      <c r="BJ47" s="153">
        <f t="shared" si="28"/>
        <v>0</v>
      </c>
      <c r="BK47" s="153">
        <f t="shared" si="29"/>
        <v>0</v>
      </c>
      <c r="BL47" s="153">
        <f t="shared" si="30"/>
        <v>0</v>
      </c>
      <c r="BM47" s="156">
        <f t="shared" si="31"/>
        <v>0</v>
      </c>
      <c r="BN47" s="157">
        <f t="shared" si="32"/>
        <v>0</v>
      </c>
      <c r="BO47" s="153">
        <f t="shared" si="33"/>
        <v>0</v>
      </c>
      <c r="BP47" s="153">
        <f t="shared" si="34"/>
        <v>0</v>
      </c>
      <c r="BQ47" s="153">
        <f t="shared" si="35"/>
        <v>0</v>
      </c>
      <c r="BR47" s="153">
        <f t="shared" si="36"/>
        <v>0</v>
      </c>
      <c r="BS47" s="220">
        <f t="shared" si="37"/>
        <v>0</v>
      </c>
      <c r="BT47" s="153">
        <f t="shared" si="38"/>
        <v>0</v>
      </c>
      <c r="BU47" s="157">
        <f t="shared" si="39"/>
        <v>0</v>
      </c>
      <c r="BV47" s="157">
        <f t="shared" si="40"/>
        <v>0</v>
      </c>
      <c r="BW47" s="150"/>
      <c r="BX47" s="155">
        <f t="shared" si="41"/>
        <v>0</v>
      </c>
      <c r="BY47" s="273">
        <f t="shared" si="44"/>
        <v>0</v>
      </c>
      <c r="CA47"/>
    </row>
    <row r="48" spans="2:79" ht="15.75" customHeight="1">
      <c r="G48">
        <v>1</v>
      </c>
      <c r="H48" t="s">
        <v>137</v>
      </c>
      <c r="I48" s="19"/>
      <c r="M48" t="s">
        <v>138</v>
      </c>
      <c r="N48" s="19" t="s">
        <v>7</v>
      </c>
      <c r="O48" s="52"/>
      <c r="P48" s="50">
        <f>F104</f>
        <v>0</v>
      </c>
      <c r="V48" s="57">
        <f t="shared" si="42"/>
        <v>57070</v>
      </c>
      <c r="W48" s="6">
        <v>32</v>
      </c>
      <c r="X48" s="269" t="str">
        <f t="shared" si="0"/>
        <v>-</v>
      </c>
      <c r="Y48" s="158">
        <f t="shared" si="1"/>
        <v>0</v>
      </c>
      <c r="Z48" s="156">
        <f t="shared" si="2"/>
        <v>0</v>
      </c>
      <c r="AA48" s="156">
        <f t="shared" si="3"/>
        <v>0</v>
      </c>
      <c r="AB48" s="156">
        <f t="shared" si="4"/>
        <v>0</v>
      </c>
      <c r="AC48" s="157">
        <f t="shared" si="5"/>
        <v>0</v>
      </c>
      <c r="AD48" s="158">
        <f t="shared" si="6"/>
        <v>0</v>
      </c>
      <c r="AE48" s="156">
        <f t="shared" si="7"/>
        <v>0</v>
      </c>
      <c r="AF48" s="156">
        <f t="shared" si="8"/>
        <v>0</v>
      </c>
      <c r="AG48" s="156">
        <f>IF(AND(SUM($AA$16:AA47)&gt;0,SUM($AG$16:AG47)&lt;$O$62,$W48&gt;=$O$65),$O$64,0)</f>
        <v>0</v>
      </c>
      <c r="AH48" s="153">
        <f>IF(SUM($AA$17:$AA47)&gt;0,($O$62-SUM($AG$17:$AG47))*$F$65,0)</f>
        <v>0</v>
      </c>
      <c r="AI48" s="157">
        <f t="shared" si="9"/>
        <v>0</v>
      </c>
      <c r="AJ48" s="153">
        <f t="shared" si="10"/>
        <v>0</v>
      </c>
      <c r="AK48" s="155">
        <f>(SUM($P$31,$P$51)-SUM($AU$17:AU47))*$O$109</f>
        <v>0</v>
      </c>
      <c r="AL48" s="160"/>
      <c r="AM48" s="154">
        <f t="shared" si="11"/>
        <v>0</v>
      </c>
      <c r="AN48" s="161"/>
      <c r="AO48" s="152">
        <f t="shared" si="12"/>
        <v>0</v>
      </c>
      <c r="AP48" s="153">
        <f t="shared" si="13"/>
        <v>0</v>
      </c>
      <c r="AQ48" s="153">
        <f t="shared" si="14"/>
        <v>0</v>
      </c>
      <c r="AR48" s="156">
        <f t="shared" si="15"/>
        <v>0</v>
      </c>
      <c r="AS48" s="157">
        <f t="shared" si="16"/>
        <v>0</v>
      </c>
      <c r="AT48" s="156">
        <f t="shared" si="17"/>
        <v>0</v>
      </c>
      <c r="AU48" s="156">
        <f t="shared" si="18"/>
        <v>0</v>
      </c>
      <c r="AV48" s="156">
        <f t="shared" si="19"/>
        <v>0</v>
      </c>
      <c r="AW48" s="156">
        <f t="shared" si="20"/>
        <v>0</v>
      </c>
      <c r="AX48" s="156">
        <f t="shared" si="21"/>
        <v>0</v>
      </c>
      <c r="AY48" s="156">
        <f t="shared" si="22"/>
        <v>0</v>
      </c>
      <c r="AZ48" s="156">
        <f>IF(AND(SUM($AQ$16:AQ47)&gt;0,SUM($AZ$16:AZ47)&lt;$P$62,$W48&gt;=$P$65),$P$64,0)</f>
        <v>0</v>
      </c>
      <c r="BA48" s="156">
        <f>IF(SUM($AQ$17:$AQ47)&gt;0,($P$62-SUM($AZ$17:$AZ47))*$F$65,0)</f>
        <v>0</v>
      </c>
      <c r="BB48" s="157">
        <f t="shared" si="23"/>
        <v>0</v>
      </c>
      <c r="BC48" s="153">
        <f t="shared" si="24"/>
        <v>0</v>
      </c>
      <c r="BD48" s="154">
        <f t="shared" si="25"/>
        <v>0</v>
      </c>
      <c r="BE48" s="48"/>
      <c r="BF48" s="47">
        <f t="shared" si="43"/>
        <v>0.33777240019817839</v>
      </c>
      <c r="BH48" s="152">
        <f t="shared" si="26"/>
        <v>0</v>
      </c>
      <c r="BI48" s="152">
        <f t="shared" si="27"/>
        <v>0</v>
      </c>
      <c r="BJ48" s="153">
        <f t="shared" si="28"/>
        <v>0</v>
      </c>
      <c r="BK48" s="153">
        <f t="shared" si="29"/>
        <v>0</v>
      </c>
      <c r="BL48" s="153">
        <f t="shared" si="30"/>
        <v>0</v>
      </c>
      <c r="BM48" s="156">
        <f t="shared" si="31"/>
        <v>0</v>
      </c>
      <c r="BN48" s="157">
        <f t="shared" si="32"/>
        <v>0</v>
      </c>
      <c r="BO48" s="153">
        <f t="shared" si="33"/>
        <v>0</v>
      </c>
      <c r="BP48" s="153">
        <f t="shared" si="34"/>
        <v>0</v>
      </c>
      <c r="BQ48" s="153">
        <f t="shared" si="35"/>
        <v>0</v>
      </c>
      <c r="BR48" s="153">
        <f t="shared" si="36"/>
        <v>0</v>
      </c>
      <c r="BS48" s="220">
        <f t="shared" si="37"/>
        <v>0</v>
      </c>
      <c r="BT48" s="153">
        <f t="shared" si="38"/>
        <v>0</v>
      </c>
      <c r="BU48" s="157">
        <f t="shared" si="39"/>
        <v>0</v>
      </c>
      <c r="BV48" s="157">
        <f t="shared" si="40"/>
        <v>0</v>
      </c>
      <c r="BW48" s="150"/>
      <c r="BX48" s="155">
        <f t="shared" si="41"/>
        <v>0</v>
      </c>
      <c r="BY48" s="273">
        <f t="shared" si="44"/>
        <v>0</v>
      </c>
    </row>
    <row r="49" spans="1:77" ht="15.75" customHeight="1">
      <c r="B49" s="92" t="s">
        <v>139</v>
      </c>
      <c r="M49" t="s">
        <v>140</v>
      </c>
      <c r="N49" s="19" t="s">
        <v>7</v>
      </c>
      <c r="O49" s="120"/>
      <c r="P49" s="121">
        <f>F105*$F$16</f>
        <v>0</v>
      </c>
      <c r="V49" s="57">
        <f t="shared" si="42"/>
        <v>57435</v>
      </c>
      <c r="W49" s="6">
        <v>33</v>
      </c>
      <c r="X49" s="269" t="str">
        <f t="shared" si="0"/>
        <v>-</v>
      </c>
      <c r="Y49" s="158">
        <f t="shared" si="1"/>
        <v>0</v>
      </c>
      <c r="Z49" s="156">
        <f t="shared" si="2"/>
        <v>0</v>
      </c>
      <c r="AA49" s="156">
        <f t="shared" si="3"/>
        <v>0</v>
      </c>
      <c r="AB49" s="156">
        <f t="shared" si="4"/>
        <v>0</v>
      </c>
      <c r="AC49" s="157">
        <f t="shared" si="5"/>
        <v>0</v>
      </c>
      <c r="AD49" s="158">
        <f t="shared" si="6"/>
        <v>0</v>
      </c>
      <c r="AE49" s="156">
        <f t="shared" si="7"/>
        <v>0</v>
      </c>
      <c r="AF49" s="156">
        <f t="shared" si="8"/>
        <v>0</v>
      </c>
      <c r="AG49" s="156">
        <f>IF(AND(SUM($AA$16:AA48)&gt;0,SUM($AG$16:AG48)&lt;$O$62,$W49&gt;=$O$65),$O$64,0)</f>
        <v>0</v>
      </c>
      <c r="AH49" s="153">
        <f>IF(SUM($AA$17:$AA48)&gt;0,($O$62-SUM($AG$17:$AG48))*$F$65,0)</f>
        <v>0</v>
      </c>
      <c r="AI49" s="157">
        <f t="shared" si="9"/>
        <v>0</v>
      </c>
      <c r="AJ49" s="153">
        <f t="shared" si="10"/>
        <v>0</v>
      </c>
      <c r="AK49" s="155">
        <f>(SUM($P$31,$P$51)-SUM($AU$17:AU48))*$O$109</f>
        <v>0</v>
      </c>
      <c r="AL49" s="160"/>
      <c r="AM49" s="154">
        <f t="shared" si="11"/>
        <v>0</v>
      </c>
      <c r="AN49" s="161"/>
      <c r="AO49" s="152">
        <f t="shared" si="12"/>
        <v>0</v>
      </c>
      <c r="AP49" s="153">
        <f t="shared" si="13"/>
        <v>0</v>
      </c>
      <c r="AQ49" s="153">
        <f t="shared" si="14"/>
        <v>0</v>
      </c>
      <c r="AR49" s="156">
        <f t="shared" si="15"/>
        <v>0</v>
      </c>
      <c r="AS49" s="157">
        <f t="shared" si="16"/>
        <v>0</v>
      </c>
      <c r="AT49" s="156">
        <f t="shared" si="17"/>
        <v>0</v>
      </c>
      <c r="AU49" s="156">
        <f t="shared" si="18"/>
        <v>0</v>
      </c>
      <c r="AV49" s="156">
        <f t="shared" si="19"/>
        <v>0</v>
      </c>
      <c r="AW49" s="156">
        <f t="shared" si="20"/>
        <v>0</v>
      </c>
      <c r="AX49" s="156">
        <f t="shared" si="21"/>
        <v>0</v>
      </c>
      <c r="AY49" s="156">
        <f t="shared" si="22"/>
        <v>0</v>
      </c>
      <c r="AZ49" s="156">
        <f>IF(AND(SUM($AQ$16:AQ48)&gt;0,SUM($AZ$16:AZ48)&lt;$P$62,$W49&gt;=$P$65),$P$64,0)</f>
        <v>0</v>
      </c>
      <c r="BA49" s="156">
        <f>IF(SUM($AQ$17:$AQ48)&gt;0,($P$62-SUM($AZ$17:$AZ48))*$F$65,0)</f>
        <v>0</v>
      </c>
      <c r="BB49" s="157">
        <f t="shared" si="23"/>
        <v>0</v>
      </c>
      <c r="BC49" s="153">
        <f t="shared" si="24"/>
        <v>0</v>
      </c>
      <c r="BD49" s="154">
        <f t="shared" si="25"/>
        <v>0</v>
      </c>
      <c r="BE49" s="48"/>
      <c r="BF49" s="47">
        <f t="shared" si="43"/>
        <v>0.32650787839359924</v>
      </c>
      <c r="BH49" s="152">
        <f t="shared" si="26"/>
        <v>0</v>
      </c>
      <c r="BI49" s="152">
        <f t="shared" si="27"/>
        <v>0</v>
      </c>
      <c r="BJ49" s="153">
        <f t="shared" si="28"/>
        <v>0</v>
      </c>
      <c r="BK49" s="153">
        <f t="shared" si="29"/>
        <v>0</v>
      </c>
      <c r="BL49" s="153">
        <f t="shared" si="30"/>
        <v>0</v>
      </c>
      <c r="BM49" s="156">
        <f t="shared" si="31"/>
        <v>0</v>
      </c>
      <c r="BN49" s="157">
        <f t="shared" si="32"/>
        <v>0</v>
      </c>
      <c r="BO49" s="153">
        <f t="shared" si="33"/>
        <v>0</v>
      </c>
      <c r="BP49" s="153">
        <f t="shared" si="34"/>
        <v>0</v>
      </c>
      <c r="BQ49" s="153">
        <f t="shared" si="35"/>
        <v>0</v>
      </c>
      <c r="BR49" s="153">
        <f t="shared" si="36"/>
        <v>0</v>
      </c>
      <c r="BS49" s="220">
        <f t="shared" si="37"/>
        <v>0</v>
      </c>
      <c r="BT49" s="153">
        <f t="shared" si="38"/>
        <v>0</v>
      </c>
      <c r="BU49" s="157">
        <f t="shared" si="39"/>
        <v>0</v>
      </c>
      <c r="BV49" s="157">
        <f t="shared" si="40"/>
        <v>0</v>
      </c>
      <c r="BW49" s="150"/>
      <c r="BX49" s="155">
        <f t="shared" si="41"/>
        <v>0</v>
      </c>
      <c r="BY49" s="273">
        <f t="shared" si="44"/>
        <v>0</v>
      </c>
    </row>
    <row r="50" spans="1:77" ht="15.75" customHeight="1" thickBot="1">
      <c r="C50" s="55" t="s">
        <v>141</v>
      </c>
      <c r="D50" t="s">
        <v>38</v>
      </c>
      <c r="F50" s="258">
        <v>0.95</v>
      </c>
      <c r="H50" s="55" t="s">
        <v>142</v>
      </c>
      <c r="M50" t="s">
        <v>143</v>
      </c>
      <c r="N50" s="19" t="s">
        <v>7</v>
      </c>
      <c r="O50" s="120"/>
      <c r="P50" s="121">
        <f>SUM(P82,P86)+P92</f>
        <v>0</v>
      </c>
      <c r="Q50" t="s">
        <v>144</v>
      </c>
      <c r="V50" s="57">
        <f t="shared" si="42"/>
        <v>57800</v>
      </c>
      <c r="W50" s="6">
        <v>34</v>
      </c>
      <c r="X50" s="269" t="str">
        <f t="shared" si="0"/>
        <v>-</v>
      </c>
      <c r="Y50" s="158">
        <f t="shared" si="1"/>
        <v>0</v>
      </c>
      <c r="Z50" s="156">
        <f t="shared" si="2"/>
        <v>0</v>
      </c>
      <c r="AA50" s="156">
        <f t="shared" si="3"/>
        <v>0</v>
      </c>
      <c r="AB50" s="156">
        <f t="shared" si="4"/>
        <v>0</v>
      </c>
      <c r="AC50" s="157">
        <f t="shared" si="5"/>
        <v>0</v>
      </c>
      <c r="AD50" s="158">
        <f t="shared" si="6"/>
        <v>0</v>
      </c>
      <c r="AE50" s="156">
        <f t="shared" si="7"/>
        <v>0</v>
      </c>
      <c r="AF50" s="156">
        <f t="shared" si="8"/>
        <v>0</v>
      </c>
      <c r="AG50" s="156">
        <f>IF(AND(SUM($AA$16:AA49)&gt;0,SUM($AG$16:AG49)&lt;$O$62,$W50&gt;=$O$65),$O$64,0)</f>
        <v>0</v>
      </c>
      <c r="AH50" s="153">
        <f>IF(SUM($AA$17:$AA49)&gt;0,($O$62-SUM($AG$17:$AG49))*$F$65,0)</f>
        <v>0</v>
      </c>
      <c r="AI50" s="157">
        <f t="shared" si="9"/>
        <v>0</v>
      </c>
      <c r="AJ50" s="153">
        <f t="shared" si="10"/>
        <v>0</v>
      </c>
      <c r="AK50" s="155">
        <f>(SUM($P$31,$P$51)-SUM($AU$17:AU49))*$O$109</f>
        <v>0</v>
      </c>
      <c r="AL50" s="160"/>
      <c r="AM50" s="154">
        <f t="shared" si="11"/>
        <v>0</v>
      </c>
      <c r="AN50" s="161"/>
      <c r="AO50" s="152">
        <f t="shared" si="12"/>
        <v>0</v>
      </c>
      <c r="AP50" s="153">
        <f t="shared" si="13"/>
        <v>0</v>
      </c>
      <c r="AQ50" s="153">
        <f t="shared" si="14"/>
        <v>0</v>
      </c>
      <c r="AR50" s="156">
        <f t="shared" si="15"/>
        <v>0</v>
      </c>
      <c r="AS50" s="157">
        <f t="shared" si="16"/>
        <v>0</v>
      </c>
      <c r="AT50" s="156">
        <f t="shared" si="17"/>
        <v>0</v>
      </c>
      <c r="AU50" s="156">
        <f t="shared" si="18"/>
        <v>0</v>
      </c>
      <c r="AV50" s="156">
        <f t="shared" si="19"/>
        <v>0</v>
      </c>
      <c r="AW50" s="156">
        <f t="shared" si="20"/>
        <v>0</v>
      </c>
      <c r="AX50" s="156">
        <f t="shared" si="21"/>
        <v>0</v>
      </c>
      <c r="AY50" s="156">
        <f t="shared" si="22"/>
        <v>0</v>
      </c>
      <c r="AZ50" s="156">
        <f>IF(AND(SUM($AQ$16:AQ49)&gt;0,SUM($AZ$16:AZ49)&lt;$P$62,$W50&gt;=$P$65),$P$64,0)</f>
        <v>0</v>
      </c>
      <c r="BA50" s="156">
        <f>IF(SUM($AQ$17:$AQ49)&gt;0,($P$62-SUM($AZ$17:$AZ49))*$F$65,0)</f>
        <v>0</v>
      </c>
      <c r="BB50" s="157">
        <f t="shared" si="23"/>
        <v>0</v>
      </c>
      <c r="BC50" s="153">
        <f t="shared" si="24"/>
        <v>0</v>
      </c>
      <c r="BD50" s="154">
        <f t="shared" si="25"/>
        <v>0</v>
      </c>
      <c r="BE50" s="48"/>
      <c r="BF50" s="47">
        <f t="shared" si="43"/>
        <v>0.31561902213011045</v>
      </c>
      <c r="BH50" s="152">
        <f t="shared" si="26"/>
        <v>0</v>
      </c>
      <c r="BI50" s="152">
        <f t="shared" si="27"/>
        <v>0</v>
      </c>
      <c r="BJ50" s="153">
        <f t="shared" si="28"/>
        <v>0</v>
      </c>
      <c r="BK50" s="153">
        <f t="shared" si="29"/>
        <v>0</v>
      </c>
      <c r="BL50" s="153">
        <f t="shared" si="30"/>
        <v>0</v>
      </c>
      <c r="BM50" s="156">
        <f t="shared" si="31"/>
        <v>0</v>
      </c>
      <c r="BN50" s="157">
        <f t="shared" si="32"/>
        <v>0</v>
      </c>
      <c r="BO50" s="153">
        <f t="shared" si="33"/>
        <v>0</v>
      </c>
      <c r="BP50" s="153">
        <f t="shared" si="34"/>
        <v>0</v>
      </c>
      <c r="BQ50" s="153">
        <f t="shared" si="35"/>
        <v>0</v>
      </c>
      <c r="BR50" s="153">
        <f t="shared" si="36"/>
        <v>0</v>
      </c>
      <c r="BS50" s="220">
        <f t="shared" si="37"/>
        <v>0</v>
      </c>
      <c r="BT50" s="153">
        <f t="shared" si="38"/>
        <v>0</v>
      </c>
      <c r="BU50" s="157">
        <f t="shared" si="39"/>
        <v>0</v>
      </c>
      <c r="BV50" s="157">
        <f t="shared" si="40"/>
        <v>0</v>
      </c>
      <c r="BW50" s="150"/>
      <c r="BX50" s="155">
        <f t="shared" si="41"/>
        <v>0</v>
      </c>
      <c r="BY50" s="273">
        <f t="shared" si="44"/>
        <v>0</v>
      </c>
    </row>
    <row r="51" spans="1:77" ht="15.75" customHeight="1" thickBot="1">
      <c r="B51" s="55"/>
      <c r="C51" s="55" t="s">
        <v>145</v>
      </c>
      <c r="D51" t="s">
        <v>38</v>
      </c>
      <c r="F51" s="194">
        <f>事業費用概算!I32</f>
        <v>0.05</v>
      </c>
      <c r="K51" s="122" t="s">
        <v>147</v>
      </c>
      <c r="L51" s="123"/>
      <c r="M51" s="123"/>
      <c r="N51" s="124" t="s">
        <v>7</v>
      </c>
      <c r="O51" s="125"/>
      <c r="P51" s="126">
        <f>SUM(P48:P49)*$F$47</f>
        <v>0</v>
      </c>
      <c r="Q51" t="s">
        <v>148</v>
      </c>
      <c r="V51" s="57">
        <f t="shared" si="42"/>
        <v>58165</v>
      </c>
      <c r="W51" s="6">
        <v>35</v>
      </c>
      <c r="X51" s="269" t="str">
        <f t="shared" si="0"/>
        <v>-</v>
      </c>
      <c r="Y51" s="158">
        <f t="shared" si="1"/>
        <v>0</v>
      </c>
      <c r="Z51" s="156">
        <f t="shared" si="2"/>
        <v>0</v>
      </c>
      <c r="AA51" s="156">
        <f t="shared" si="3"/>
        <v>0</v>
      </c>
      <c r="AB51" s="156">
        <f t="shared" si="4"/>
        <v>0</v>
      </c>
      <c r="AC51" s="157">
        <f t="shared" si="5"/>
        <v>0</v>
      </c>
      <c r="AD51" s="158">
        <f t="shared" si="6"/>
        <v>0</v>
      </c>
      <c r="AE51" s="156">
        <f t="shared" si="7"/>
        <v>0</v>
      </c>
      <c r="AF51" s="156">
        <f t="shared" si="8"/>
        <v>0</v>
      </c>
      <c r="AG51" s="156">
        <f>IF(AND(SUM($AA$16:AA50)&gt;0,SUM($AG$16:AG50)&lt;$O$62,$W51&gt;=$O$65),$O$64,0)</f>
        <v>0</v>
      </c>
      <c r="AH51" s="153">
        <f>IF(SUM($AA$17:$AA50)&gt;0,($O$62-SUM($AG$17:$AG50))*$F$65,0)</f>
        <v>0</v>
      </c>
      <c r="AI51" s="157">
        <f t="shared" si="9"/>
        <v>0</v>
      </c>
      <c r="AJ51" s="153">
        <f t="shared" si="10"/>
        <v>0</v>
      </c>
      <c r="AK51" s="155">
        <f>(SUM($P$31,$P$51)-SUM($AU$17:AU50))*$O$109</f>
        <v>0</v>
      </c>
      <c r="AL51" s="160"/>
      <c r="AM51" s="154">
        <f t="shared" si="11"/>
        <v>0</v>
      </c>
      <c r="AN51" s="161"/>
      <c r="AO51" s="152">
        <f t="shared" si="12"/>
        <v>0</v>
      </c>
      <c r="AP51" s="153">
        <f t="shared" si="13"/>
        <v>0</v>
      </c>
      <c r="AQ51" s="153">
        <f t="shared" si="14"/>
        <v>0</v>
      </c>
      <c r="AR51" s="156">
        <f t="shared" si="15"/>
        <v>0</v>
      </c>
      <c r="AS51" s="157">
        <f t="shared" si="16"/>
        <v>0</v>
      </c>
      <c r="AT51" s="156">
        <f t="shared" si="17"/>
        <v>0</v>
      </c>
      <c r="AU51" s="156">
        <f t="shared" si="18"/>
        <v>0</v>
      </c>
      <c r="AV51" s="156">
        <f t="shared" si="19"/>
        <v>0</v>
      </c>
      <c r="AW51" s="156">
        <f t="shared" si="20"/>
        <v>0</v>
      </c>
      <c r="AX51" s="156">
        <f t="shared" si="21"/>
        <v>0</v>
      </c>
      <c r="AY51" s="156">
        <f t="shared" si="22"/>
        <v>0</v>
      </c>
      <c r="AZ51" s="156">
        <f>IF(AND(SUM($AQ$16:AQ50)&gt;0,SUM($AZ$16:AZ50)&lt;$P$62,$W51&gt;=$P$65),$P$64,0)</f>
        <v>0</v>
      </c>
      <c r="BA51" s="156">
        <f>IF(SUM($AQ$17:$AQ50)&gt;0,($P$62-SUM($AZ$17:$AZ50))*$F$65,0)</f>
        <v>0</v>
      </c>
      <c r="BB51" s="157">
        <f t="shared" si="23"/>
        <v>0</v>
      </c>
      <c r="BC51" s="153">
        <f t="shared" si="24"/>
        <v>0</v>
      </c>
      <c r="BD51" s="154">
        <f t="shared" si="25"/>
        <v>0</v>
      </c>
      <c r="BE51" s="48"/>
      <c r="BF51" s="47">
        <f t="shared" si="43"/>
        <v>0.30509330317072059</v>
      </c>
      <c r="BH51" s="152">
        <f t="shared" si="26"/>
        <v>0</v>
      </c>
      <c r="BI51" s="152">
        <f t="shared" si="27"/>
        <v>0</v>
      </c>
      <c r="BJ51" s="153">
        <f t="shared" si="28"/>
        <v>0</v>
      </c>
      <c r="BK51" s="153">
        <f t="shared" si="29"/>
        <v>0</v>
      </c>
      <c r="BL51" s="153">
        <f t="shared" si="30"/>
        <v>0</v>
      </c>
      <c r="BM51" s="156">
        <f t="shared" si="31"/>
        <v>0</v>
      </c>
      <c r="BN51" s="157">
        <f t="shared" si="32"/>
        <v>0</v>
      </c>
      <c r="BO51" s="153">
        <f t="shared" si="33"/>
        <v>0</v>
      </c>
      <c r="BP51" s="153">
        <f t="shared" si="34"/>
        <v>0</v>
      </c>
      <c r="BQ51" s="153">
        <f t="shared" si="35"/>
        <v>0</v>
      </c>
      <c r="BR51" s="153">
        <f t="shared" si="36"/>
        <v>0</v>
      </c>
      <c r="BS51" s="220">
        <f t="shared" si="37"/>
        <v>0</v>
      </c>
      <c r="BT51" s="153">
        <f t="shared" si="38"/>
        <v>0</v>
      </c>
      <c r="BU51" s="157">
        <f t="shared" si="39"/>
        <v>0</v>
      </c>
      <c r="BV51" s="157">
        <f t="shared" si="40"/>
        <v>0</v>
      </c>
      <c r="BW51" s="150"/>
      <c r="BX51" s="155">
        <f t="shared" si="41"/>
        <v>0</v>
      </c>
      <c r="BY51" s="273">
        <f t="shared" si="44"/>
        <v>0</v>
      </c>
    </row>
    <row r="52" spans="1:77" ht="15.75" customHeight="1">
      <c r="B52" s="55"/>
      <c r="C52" s="55" t="s">
        <v>149</v>
      </c>
      <c r="D52" t="s">
        <v>38</v>
      </c>
      <c r="F52" s="146"/>
      <c r="H52" s="147" t="s">
        <v>122</v>
      </c>
      <c r="M52" t="s">
        <v>150</v>
      </c>
      <c r="N52" s="19" t="s">
        <v>7</v>
      </c>
      <c r="O52" s="127"/>
      <c r="P52" s="128">
        <f>F105</f>
        <v>0</v>
      </c>
      <c r="V52" s="57">
        <f t="shared" si="42"/>
        <v>58531</v>
      </c>
      <c r="W52" s="6">
        <v>36</v>
      </c>
      <c r="X52" s="269" t="str">
        <f t="shared" si="0"/>
        <v>-</v>
      </c>
      <c r="Y52" s="158">
        <f t="shared" si="1"/>
        <v>0</v>
      </c>
      <c r="Z52" s="156">
        <f t="shared" si="2"/>
        <v>0</v>
      </c>
      <c r="AA52" s="156">
        <f t="shared" si="3"/>
        <v>0</v>
      </c>
      <c r="AB52" s="156">
        <f t="shared" si="4"/>
        <v>0</v>
      </c>
      <c r="AC52" s="157">
        <f t="shared" si="5"/>
        <v>0</v>
      </c>
      <c r="AD52" s="158">
        <f t="shared" si="6"/>
        <v>0</v>
      </c>
      <c r="AE52" s="156">
        <f t="shared" si="7"/>
        <v>0</v>
      </c>
      <c r="AF52" s="156">
        <f t="shared" si="8"/>
        <v>0</v>
      </c>
      <c r="AG52" s="156">
        <f>IF(AND(SUM($AA$16:AA51)&gt;0,SUM($AG$16:AG51)&lt;$O$62,$W52&gt;=$O$65),$O$64,0)</f>
        <v>0</v>
      </c>
      <c r="AH52" s="153">
        <f>IF(SUM($AA$17:$AA51)&gt;0,($O$62-SUM($AG$17:$AG51))*$F$65,0)</f>
        <v>0</v>
      </c>
      <c r="AI52" s="157">
        <f t="shared" si="9"/>
        <v>0</v>
      </c>
      <c r="AJ52" s="153">
        <f t="shared" si="10"/>
        <v>0</v>
      </c>
      <c r="AK52" s="155">
        <f>(SUM($P$31,$P$51)-SUM($AU$17:AU51))*$O$109</f>
        <v>0</v>
      </c>
      <c r="AL52" s="160"/>
      <c r="AM52" s="154">
        <f t="shared" si="11"/>
        <v>0</v>
      </c>
      <c r="AN52" s="161"/>
      <c r="AO52" s="152">
        <f t="shared" si="12"/>
        <v>0</v>
      </c>
      <c r="AP52" s="153">
        <f t="shared" si="13"/>
        <v>0</v>
      </c>
      <c r="AQ52" s="153">
        <f t="shared" si="14"/>
        <v>0</v>
      </c>
      <c r="AR52" s="156">
        <f t="shared" si="15"/>
        <v>0</v>
      </c>
      <c r="AS52" s="157">
        <f t="shared" si="16"/>
        <v>0</v>
      </c>
      <c r="AT52" s="156">
        <f t="shared" si="17"/>
        <v>0</v>
      </c>
      <c r="AU52" s="156">
        <f t="shared" si="18"/>
        <v>0</v>
      </c>
      <c r="AV52" s="156">
        <f t="shared" si="19"/>
        <v>0</v>
      </c>
      <c r="AW52" s="156">
        <f t="shared" si="20"/>
        <v>0</v>
      </c>
      <c r="AX52" s="156">
        <f t="shared" si="21"/>
        <v>0</v>
      </c>
      <c r="AY52" s="156">
        <f t="shared" si="22"/>
        <v>0</v>
      </c>
      <c r="AZ52" s="156">
        <f>IF(AND(SUM($AQ$16:AQ51)&gt;0,SUM($AZ$16:AZ51)&lt;$P$62,$W52&gt;=$P$65),$P$64,0)</f>
        <v>0</v>
      </c>
      <c r="BA52" s="156">
        <f>IF(SUM($AQ$17:$AQ51)&gt;0,($P$62-SUM($AZ$17:$AZ51))*$F$65,0)</f>
        <v>0</v>
      </c>
      <c r="BB52" s="157">
        <f t="shared" si="23"/>
        <v>0</v>
      </c>
      <c r="BC52" s="153">
        <f t="shared" si="24"/>
        <v>0</v>
      </c>
      <c r="BD52" s="154">
        <f t="shared" si="25"/>
        <v>0</v>
      </c>
      <c r="BE52" s="48"/>
      <c r="BF52" s="47">
        <f t="shared" si="43"/>
        <v>0.29491861108817846</v>
      </c>
      <c r="BH52" s="152">
        <f t="shared" si="26"/>
        <v>0</v>
      </c>
      <c r="BI52" s="152">
        <f t="shared" si="27"/>
        <v>0</v>
      </c>
      <c r="BJ52" s="153">
        <f t="shared" si="28"/>
        <v>0</v>
      </c>
      <c r="BK52" s="153">
        <f t="shared" si="29"/>
        <v>0</v>
      </c>
      <c r="BL52" s="153">
        <f t="shared" si="30"/>
        <v>0</v>
      </c>
      <c r="BM52" s="156">
        <f t="shared" si="31"/>
        <v>0</v>
      </c>
      <c r="BN52" s="157">
        <f t="shared" si="32"/>
        <v>0</v>
      </c>
      <c r="BO52" s="153">
        <f t="shared" si="33"/>
        <v>0</v>
      </c>
      <c r="BP52" s="153">
        <f t="shared" si="34"/>
        <v>0</v>
      </c>
      <c r="BQ52" s="153">
        <f t="shared" si="35"/>
        <v>0</v>
      </c>
      <c r="BR52" s="153">
        <f t="shared" si="36"/>
        <v>0</v>
      </c>
      <c r="BS52" s="220">
        <f t="shared" si="37"/>
        <v>0</v>
      </c>
      <c r="BT52" s="153">
        <f t="shared" si="38"/>
        <v>0</v>
      </c>
      <c r="BU52" s="157">
        <f t="shared" si="39"/>
        <v>0</v>
      </c>
      <c r="BV52" s="157">
        <f t="shared" si="40"/>
        <v>0</v>
      </c>
      <c r="BW52" s="150"/>
      <c r="BX52" s="155">
        <f t="shared" si="41"/>
        <v>0</v>
      </c>
      <c r="BY52" s="273">
        <f t="shared" si="44"/>
        <v>0</v>
      </c>
    </row>
    <row r="53" spans="1:77" ht="15.75" customHeight="1" thickBot="1">
      <c r="M53" t="s">
        <v>151</v>
      </c>
      <c r="N53" s="19" t="s">
        <v>7</v>
      </c>
      <c r="O53" s="127"/>
      <c r="P53" s="129">
        <f>P94</f>
        <v>0</v>
      </c>
      <c r="V53" s="57">
        <f t="shared" si="42"/>
        <v>58896</v>
      </c>
      <c r="W53" s="6">
        <v>37</v>
      </c>
      <c r="X53" s="269" t="str">
        <f t="shared" si="0"/>
        <v>-</v>
      </c>
      <c r="Y53" s="158">
        <f t="shared" si="1"/>
        <v>0</v>
      </c>
      <c r="Z53" s="156">
        <f t="shared" si="2"/>
        <v>0</v>
      </c>
      <c r="AA53" s="156">
        <f t="shared" si="3"/>
        <v>0</v>
      </c>
      <c r="AB53" s="156">
        <f t="shared" si="4"/>
        <v>0</v>
      </c>
      <c r="AC53" s="157">
        <f t="shared" si="5"/>
        <v>0</v>
      </c>
      <c r="AD53" s="158">
        <f t="shared" si="6"/>
        <v>0</v>
      </c>
      <c r="AE53" s="156">
        <f t="shared" si="7"/>
        <v>0</v>
      </c>
      <c r="AF53" s="156">
        <f t="shared" si="8"/>
        <v>0</v>
      </c>
      <c r="AG53" s="156">
        <f>IF(AND(SUM($AA$16:AA52)&gt;0,SUM($AG$16:AG52)&lt;$O$62,$W53&gt;=$O$65),$O$64,0)</f>
        <v>0</v>
      </c>
      <c r="AH53" s="153">
        <f>IF(SUM($AA$17:$AA52)&gt;0,($O$62-SUM($AG$17:$AG52))*$F$65,0)</f>
        <v>0</v>
      </c>
      <c r="AI53" s="157">
        <f t="shared" si="9"/>
        <v>0</v>
      </c>
      <c r="AJ53" s="153">
        <f t="shared" si="10"/>
        <v>0</v>
      </c>
      <c r="AK53" s="155">
        <f>(SUM($P$31,$P$51)-SUM($AU$17:AU52))*$O$109</f>
        <v>0</v>
      </c>
      <c r="AL53" s="160"/>
      <c r="AM53" s="154">
        <f t="shared" si="11"/>
        <v>0</v>
      </c>
      <c r="AN53" s="161"/>
      <c r="AO53" s="152">
        <f t="shared" si="12"/>
        <v>0</v>
      </c>
      <c r="AP53" s="153">
        <f t="shared" si="13"/>
        <v>0</v>
      </c>
      <c r="AQ53" s="153">
        <f t="shared" si="14"/>
        <v>0</v>
      </c>
      <c r="AR53" s="156">
        <f t="shared" si="15"/>
        <v>0</v>
      </c>
      <c r="AS53" s="157">
        <f t="shared" si="16"/>
        <v>0</v>
      </c>
      <c r="AT53" s="156">
        <f t="shared" si="17"/>
        <v>0</v>
      </c>
      <c r="AU53" s="156">
        <f t="shared" si="18"/>
        <v>0</v>
      </c>
      <c r="AV53" s="156">
        <f t="shared" si="19"/>
        <v>0</v>
      </c>
      <c r="AW53" s="156">
        <f t="shared" si="20"/>
        <v>0</v>
      </c>
      <c r="AX53" s="156">
        <f t="shared" si="21"/>
        <v>0</v>
      </c>
      <c r="AY53" s="156">
        <f t="shared" si="22"/>
        <v>0</v>
      </c>
      <c r="AZ53" s="156">
        <f>IF(AND(SUM($AQ$16:AQ52)&gt;0,SUM($AZ$16:AZ52)&lt;$P$62,$W53&gt;=$P$65),$P$64,0)</f>
        <v>0</v>
      </c>
      <c r="BA53" s="156">
        <f>IF(SUM($AQ$17:$AQ52)&gt;0,($P$62-SUM($AZ$17:$AZ52))*$F$65,0)</f>
        <v>0</v>
      </c>
      <c r="BB53" s="157">
        <f t="shared" si="23"/>
        <v>0</v>
      </c>
      <c r="BC53" s="153">
        <f t="shared" si="24"/>
        <v>0</v>
      </c>
      <c r="BD53" s="154">
        <f t="shared" si="25"/>
        <v>0</v>
      </c>
      <c r="BE53" s="48"/>
      <c r="BF53" s="47">
        <f t="shared" si="43"/>
        <v>0.28508323933125035</v>
      </c>
      <c r="BH53" s="152">
        <f t="shared" si="26"/>
        <v>0</v>
      </c>
      <c r="BI53" s="152">
        <f t="shared" si="27"/>
        <v>0</v>
      </c>
      <c r="BJ53" s="153">
        <f t="shared" si="28"/>
        <v>0</v>
      </c>
      <c r="BK53" s="153">
        <f t="shared" si="29"/>
        <v>0</v>
      </c>
      <c r="BL53" s="153">
        <f t="shared" si="30"/>
        <v>0</v>
      </c>
      <c r="BM53" s="156">
        <f t="shared" si="31"/>
        <v>0</v>
      </c>
      <c r="BN53" s="157">
        <f t="shared" si="32"/>
        <v>0</v>
      </c>
      <c r="BO53" s="153">
        <f t="shared" si="33"/>
        <v>0</v>
      </c>
      <c r="BP53" s="153">
        <f t="shared" si="34"/>
        <v>0</v>
      </c>
      <c r="BQ53" s="153">
        <f t="shared" si="35"/>
        <v>0</v>
      </c>
      <c r="BR53" s="153">
        <f t="shared" si="36"/>
        <v>0</v>
      </c>
      <c r="BS53" s="220">
        <f t="shared" si="37"/>
        <v>0</v>
      </c>
      <c r="BT53" s="153">
        <f t="shared" si="38"/>
        <v>0</v>
      </c>
      <c r="BU53" s="157">
        <f t="shared" si="39"/>
        <v>0</v>
      </c>
      <c r="BV53" s="157">
        <f t="shared" si="40"/>
        <v>0</v>
      </c>
      <c r="BW53" s="150"/>
      <c r="BX53" s="155">
        <f t="shared" si="41"/>
        <v>0</v>
      </c>
      <c r="BY53" s="273">
        <f t="shared" si="44"/>
        <v>0</v>
      </c>
    </row>
    <row r="54" spans="1:77" ht="15.75" customHeight="1" thickBot="1">
      <c r="A54" s="4" t="s">
        <v>152</v>
      </c>
      <c r="K54" s="122" t="s">
        <v>153</v>
      </c>
      <c r="L54" s="123"/>
      <c r="M54" s="123"/>
      <c r="N54" s="124" t="s">
        <v>7</v>
      </c>
      <c r="O54" s="125"/>
      <c r="P54" s="126">
        <f>SUM(P52:P53)*$F$47</f>
        <v>0</v>
      </c>
      <c r="Q54" t="s">
        <v>154</v>
      </c>
      <c r="V54" s="57">
        <f t="shared" si="42"/>
        <v>59261</v>
      </c>
      <c r="W54" s="6">
        <v>38</v>
      </c>
      <c r="X54" s="269" t="str">
        <f t="shared" si="0"/>
        <v>-</v>
      </c>
      <c r="Y54" s="158">
        <f t="shared" si="1"/>
        <v>0</v>
      </c>
      <c r="Z54" s="156">
        <f t="shared" si="2"/>
        <v>0</v>
      </c>
      <c r="AA54" s="156">
        <f t="shared" si="3"/>
        <v>0</v>
      </c>
      <c r="AB54" s="156">
        <f t="shared" si="4"/>
        <v>0</v>
      </c>
      <c r="AC54" s="157">
        <f t="shared" si="5"/>
        <v>0</v>
      </c>
      <c r="AD54" s="158">
        <f t="shared" si="6"/>
        <v>0</v>
      </c>
      <c r="AE54" s="156">
        <f t="shared" si="7"/>
        <v>0</v>
      </c>
      <c r="AF54" s="156">
        <f t="shared" si="8"/>
        <v>0</v>
      </c>
      <c r="AG54" s="156">
        <f>IF(AND(SUM($AA$16:AA53)&gt;0,SUM($AG$16:AG53)&lt;$O$62,$W54&gt;=$O$65),$O$64,0)</f>
        <v>0</v>
      </c>
      <c r="AH54" s="153">
        <f>IF(SUM($AA$17:$AA53)&gt;0,($O$62-SUM($AG$17:$AG53))*$F$65,0)</f>
        <v>0</v>
      </c>
      <c r="AI54" s="157">
        <f t="shared" si="9"/>
        <v>0</v>
      </c>
      <c r="AJ54" s="153">
        <f t="shared" si="10"/>
        <v>0</v>
      </c>
      <c r="AK54" s="155">
        <f>(SUM($P$31,$P$51)-SUM($AU$17:AU53))*$O$109</f>
        <v>0</v>
      </c>
      <c r="AL54" s="160"/>
      <c r="AM54" s="154">
        <f t="shared" si="11"/>
        <v>0</v>
      </c>
      <c r="AN54" s="161"/>
      <c r="AO54" s="152">
        <f t="shared" si="12"/>
        <v>0</v>
      </c>
      <c r="AP54" s="153">
        <f t="shared" si="13"/>
        <v>0</v>
      </c>
      <c r="AQ54" s="153">
        <f t="shared" si="14"/>
        <v>0</v>
      </c>
      <c r="AR54" s="156">
        <f t="shared" si="15"/>
        <v>0</v>
      </c>
      <c r="AS54" s="157">
        <f t="shared" si="16"/>
        <v>0</v>
      </c>
      <c r="AT54" s="156">
        <f t="shared" si="17"/>
        <v>0</v>
      </c>
      <c r="AU54" s="156">
        <f t="shared" si="18"/>
        <v>0</v>
      </c>
      <c r="AV54" s="156">
        <f t="shared" si="19"/>
        <v>0</v>
      </c>
      <c r="AW54" s="156">
        <f t="shared" si="20"/>
        <v>0</v>
      </c>
      <c r="AX54" s="156">
        <f t="shared" si="21"/>
        <v>0</v>
      </c>
      <c r="AY54" s="156">
        <f t="shared" si="22"/>
        <v>0</v>
      </c>
      <c r="AZ54" s="156">
        <f>IF(AND(SUM($AQ$16:AQ53)&gt;0,SUM($AZ$16:AZ53)&lt;$P$62,$W54&gt;=$P$65),$P$64,0)</f>
        <v>0</v>
      </c>
      <c r="BA54" s="156">
        <f>IF(SUM($AQ$17:$AQ53)&gt;0,($P$62-SUM($AZ$17:$AZ53))*$F$65,0)</f>
        <v>0</v>
      </c>
      <c r="BB54" s="157">
        <f t="shared" si="23"/>
        <v>0</v>
      </c>
      <c r="BC54" s="153">
        <f t="shared" si="24"/>
        <v>0</v>
      </c>
      <c r="BD54" s="154">
        <f t="shared" si="25"/>
        <v>0</v>
      </c>
      <c r="BE54" s="48"/>
      <c r="BF54" s="47">
        <f t="shared" si="43"/>
        <v>0.27557587175567944</v>
      </c>
      <c r="BH54" s="152">
        <f t="shared" si="26"/>
        <v>0</v>
      </c>
      <c r="BI54" s="152">
        <f t="shared" si="27"/>
        <v>0</v>
      </c>
      <c r="BJ54" s="153">
        <f t="shared" si="28"/>
        <v>0</v>
      </c>
      <c r="BK54" s="153">
        <f t="shared" si="29"/>
        <v>0</v>
      </c>
      <c r="BL54" s="153">
        <f t="shared" si="30"/>
        <v>0</v>
      </c>
      <c r="BM54" s="156">
        <f t="shared" si="31"/>
        <v>0</v>
      </c>
      <c r="BN54" s="157">
        <f t="shared" si="32"/>
        <v>0</v>
      </c>
      <c r="BO54" s="153">
        <f t="shared" si="33"/>
        <v>0</v>
      </c>
      <c r="BP54" s="153">
        <f t="shared" si="34"/>
        <v>0</v>
      </c>
      <c r="BQ54" s="153">
        <f t="shared" si="35"/>
        <v>0</v>
      </c>
      <c r="BR54" s="153">
        <f t="shared" si="36"/>
        <v>0</v>
      </c>
      <c r="BS54" s="220">
        <f t="shared" si="37"/>
        <v>0</v>
      </c>
      <c r="BT54" s="153">
        <f t="shared" si="38"/>
        <v>0</v>
      </c>
      <c r="BU54" s="157">
        <f t="shared" si="39"/>
        <v>0</v>
      </c>
      <c r="BV54" s="157">
        <f t="shared" si="40"/>
        <v>0</v>
      </c>
      <c r="BW54" s="150"/>
      <c r="BX54" s="155">
        <f t="shared" si="41"/>
        <v>0</v>
      </c>
      <c r="BY54" s="273">
        <f t="shared" si="44"/>
        <v>0</v>
      </c>
    </row>
    <row r="55" spans="1:77" ht="15.75" customHeight="1">
      <c r="V55" s="57">
        <f t="shared" si="42"/>
        <v>59626</v>
      </c>
      <c r="W55" s="6">
        <v>39</v>
      </c>
      <c r="X55" s="269" t="str">
        <f t="shared" si="0"/>
        <v>-</v>
      </c>
      <c r="Y55" s="158">
        <f t="shared" si="1"/>
        <v>0</v>
      </c>
      <c r="Z55" s="156">
        <f t="shared" si="2"/>
        <v>0</v>
      </c>
      <c r="AA55" s="156">
        <f t="shared" si="3"/>
        <v>0</v>
      </c>
      <c r="AB55" s="156">
        <f t="shared" si="4"/>
        <v>0</v>
      </c>
      <c r="AC55" s="157">
        <f t="shared" si="5"/>
        <v>0</v>
      </c>
      <c r="AD55" s="158">
        <f t="shared" si="6"/>
        <v>0</v>
      </c>
      <c r="AE55" s="156">
        <f t="shared" si="7"/>
        <v>0</v>
      </c>
      <c r="AF55" s="156">
        <f t="shared" si="8"/>
        <v>0</v>
      </c>
      <c r="AG55" s="156">
        <f>IF(AND(SUM($AA$16:AA54)&gt;0,SUM($AG$16:AG54)&lt;$O$62,$W55&gt;=$O$65),$O$64,0)</f>
        <v>0</v>
      </c>
      <c r="AH55" s="153">
        <f>IF(SUM($AA$17:$AA54)&gt;0,($O$62-SUM($AG$17:$AG54))*$F$65,0)</f>
        <v>0</v>
      </c>
      <c r="AI55" s="157">
        <f t="shared" si="9"/>
        <v>0</v>
      </c>
      <c r="AJ55" s="153">
        <f t="shared" si="10"/>
        <v>0</v>
      </c>
      <c r="AK55" s="155">
        <f>(SUM($P$31,$P$51)-SUM($AU$17:AU54))*$O$109</f>
        <v>0</v>
      </c>
      <c r="AL55" s="160"/>
      <c r="AM55" s="154">
        <f t="shared" si="11"/>
        <v>0</v>
      </c>
      <c r="AN55" s="161"/>
      <c r="AO55" s="152">
        <f t="shared" si="12"/>
        <v>0</v>
      </c>
      <c r="AP55" s="153">
        <f t="shared" si="13"/>
        <v>0</v>
      </c>
      <c r="AQ55" s="153">
        <f t="shared" si="14"/>
        <v>0</v>
      </c>
      <c r="AR55" s="156">
        <f t="shared" si="15"/>
        <v>0</v>
      </c>
      <c r="AS55" s="157">
        <f t="shared" si="16"/>
        <v>0</v>
      </c>
      <c r="AT55" s="156">
        <f t="shared" si="17"/>
        <v>0</v>
      </c>
      <c r="AU55" s="156">
        <f t="shared" si="18"/>
        <v>0</v>
      </c>
      <c r="AV55" s="156">
        <f t="shared" si="19"/>
        <v>0</v>
      </c>
      <c r="AW55" s="156">
        <f t="shared" si="20"/>
        <v>0</v>
      </c>
      <c r="AX55" s="156">
        <f t="shared" si="21"/>
        <v>0</v>
      </c>
      <c r="AY55" s="156">
        <f t="shared" si="22"/>
        <v>0</v>
      </c>
      <c r="AZ55" s="156">
        <f>IF(AND(SUM($AQ$16:AQ54)&gt;0,SUM($AZ$16:AZ54)&lt;$P$62,$W55&gt;=$P$65),$P$64,0)</f>
        <v>0</v>
      </c>
      <c r="BA55" s="156">
        <f>IF(SUM($AQ$17:$AQ54)&gt;0,($P$62-SUM($AZ$17:$AZ54))*$F$65,0)</f>
        <v>0</v>
      </c>
      <c r="BB55" s="157">
        <f t="shared" si="23"/>
        <v>0</v>
      </c>
      <c r="BC55" s="153">
        <f t="shared" si="24"/>
        <v>0</v>
      </c>
      <c r="BD55" s="154">
        <f t="shared" si="25"/>
        <v>0</v>
      </c>
      <c r="BE55" s="48"/>
      <c r="BF55" s="47">
        <f t="shared" si="43"/>
        <v>0.26638556960433007</v>
      </c>
      <c r="BH55" s="152">
        <f t="shared" si="26"/>
        <v>0</v>
      </c>
      <c r="BI55" s="152">
        <f t="shared" si="27"/>
        <v>0</v>
      </c>
      <c r="BJ55" s="153">
        <f t="shared" si="28"/>
        <v>0</v>
      </c>
      <c r="BK55" s="153">
        <f t="shared" si="29"/>
        <v>0</v>
      </c>
      <c r="BL55" s="153">
        <f t="shared" si="30"/>
        <v>0</v>
      </c>
      <c r="BM55" s="156">
        <f t="shared" si="31"/>
        <v>0</v>
      </c>
      <c r="BN55" s="157">
        <f t="shared" si="32"/>
        <v>0</v>
      </c>
      <c r="BO55" s="153">
        <f t="shared" si="33"/>
        <v>0</v>
      </c>
      <c r="BP55" s="153">
        <f t="shared" si="34"/>
        <v>0</v>
      </c>
      <c r="BQ55" s="153">
        <f t="shared" si="35"/>
        <v>0</v>
      </c>
      <c r="BR55" s="153">
        <f t="shared" si="36"/>
        <v>0</v>
      </c>
      <c r="BS55" s="220">
        <f t="shared" si="37"/>
        <v>0</v>
      </c>
      <c r="BT55" s="153">
        <f t="shared" si="38"/>
        <v>0</v>
      </c>
      <c r="BU55" s="157">
        <f t="shared" si="39"/>
        <v>0</v>
      </c>
      <c r="BV55" s="157">
        <f t="shared" si="40"/>
        <v>0</v>
      </c>
      <c r="BW55" s="150"/>
      <c r="BX55" s="155">
        <f t="shared" si="41"/>
        <v>0</v>
      </c>
      <c r="BY55" s="273">
        <f t="shared" si="44"/>
        <v>0</v>
      </c>
    </row>
    <row r="56" spans="1:77" ht="15.75" customHeight="1">
      <c r="C56" s="55" t="s">
        <v>155</v>
      </c>
      <c r="D56" t="s">
        <v>7</v>
      </c>
      <c r="F56" s="1">
        <v>0</v>
      </c>
      <c r="V56" s="57">
        <f t="shared" si="42"/>
        <v>59992</v>
      </c>
      <c r="W56" s="6">
        <v>40</v>
      </c>
      <c r="X56" s="269" t="str">
        <f t="shared" si="0"/>
        <v>-</v>
      </c>
      <c r="Y56" s="158">
        <f t="shared" si="1"/>
        <v>0</v>
      </c>
      <c r="Z56" s="156">
        <f t="shared" si="2"/>
        <v>0</v>
      </c>
      <c r="AA56" s="156">
        <f t="shared" si="3"/>
        <v>0</v>
      </c>
      <c r="AB56" s="156">
        <f t="shared" si="4"/>
        <v>0</v>
      </c>
      <c r="AC56" s="157">
        <f t="shared" si="5"/>
        <v>0</v>
      </c>
      <c r="AD56" s="158">
        <f t="shared" si="6"/>
        <v>0</v>
      </c>
      <c r="AE56" s="156">
        <f t="shared" si="7"/>
        <v>0</v>
      </c>
      <c r="AF56" s="156">
        <f t="shared" si="8"/>
        <v>0</v>
      </c>
      <c r="AG56" s="156">
        <f>IF(AND(SUM($AA$16:AA55)&gt;0,SUM($AG$16:AG55)&lt;$O$62,$W56&gt;=$O$65),$O$64,0)</f>
        <v>0</v>
      </c>
      <c r="AH56" s="153">
        <f>IF(SUM($AA$17:$AA55)&gt;0,($O$62-SUM($AG$17:$AG55))*$F$65,0)</f>
        <v>0</v>
      </c>
      <c r="AI56" s="157">
        <f t="shared" si="9"/>
        <v>0</v>
      </c>
      <c r="AJ56" s="153">
        <f t="shared" si="10"/>
        <v>0</v>
      </c>
      <c r="AK56" s="155">
        <f>(SUM($P$31,$P$51)-SUM($AU$17:AU55))*$O$109</f>
        <v>0</v>
      </c>
      <c r="AL56" s="160"/>
      <c r="AM56" s="154">
        <f t="shared" si="11"/>
        <v>0</v>
      </c>
      <c r="AN56" s="161"/>
      <c r="AO56" s="152">
        <f t="shared" si="12"/>
        <v>0</v>
      </c>
      <c r="AP56" s="153">
        <f t="shared" si="13"/>
        <v>0</v>
      </c>
      <c r="AQ56" s="153">
        <f t="shared" si="14"/>
        <v>0</v>
      </c>
      <c r="AR56" s="156">
        <f t="shared" si="15"/>
        <v>0</v>
      </c>
      <c r="AS56" s="157">
        <f t="shared" si="16"/>
        <v>0</v>
      </c>
      <c r="AT56" s="156">
        <f t="shared" si="17"/>
        <v>0</v>
      </c>
      <c r="AU56" s="156">
        <f t="shared" si="18"/>
        <v>0</v>
      </c>
      <c r="AV56" s="156">
        <f t="shared" si="19"/>
        <v>0</v>
      </c>
      <c r="AW56" s="156">
        <f t="shared" si="20"/>
        <v>0</v>
      </c>
      <c r="AX56" s="156">
        <f t="shared" si="21"/>
        <v>0</v>
      </c>
      <c r="AY56" s="156">
        <f t="shared" si="22"/>
        <v>0</v>
      </c>
      <c r="AZ56" s="156">
        <f>IF(AND(SUM($AQ$16:AQ55)&gt;0,SUM($AZ$16:AZ55)&lt;$P$62,$W56&gt;=$P$65),$P$64,0)</f>
        <v>0</v>
      </c>
      <c r="BA56" s="156">
        <f>IF(SUM($AQ$17:$AQ55)&gt;0,($P$62-SUM($AZ$17:$AZ55))*$F$65,0)</f>
        <v>0</v>
      </c>
      <c r="BB56" s="157">
        <f t="shared" si="23"/>
        <v>0</v>
      </c>
      <c r="BC56" s="153">
        <f t="shared" si="24"/>
        <v>0</v>
      </c>
      <c r="BD56" s="154">
        <f t="shared" si="25"/>
        <v>0</v>
      </c>
      <c r="BE56" s="48"/>
      <c r="BF56" s="47">
        <f t="shared" si="43"/>
        <v>0.25750175892153704</v>
      </c>
      <c r="BH56" s="152">
        <f t="shared" si="26"/>
        <v>0</v>
      </c>
      <c r="BI56" s="152">
        <f t="shared" si="27"/>
        <v>0</v>
      </c>
      <c r="BJ56" s="153">
        <f t="shared" si="28"/>
        <v>0</v>
      </c>
      <c r="BK56" s="153">
        <f t="shared" si="29"/>
        <v>0</v>
      </c>
      <c r="BL56" s="153">
        <f t="shared" si="30"/>
        <v>0</v>
      </c>
      <c r="BM56" s="156">
        <f t="shared" si="31"/>
        <v>0</v>
      </c>
      <c r="BN56" s="157">
        <f t="shared" si="32"/>
        <v>0</v>
      </c>
      <c r="BO56" s="153">
        <f t="shared" si="33"/>
        <v>0</v>
      </c>
      <c r="BP56" s="153">
        <f t="shared" si="34"/>
        <v>0</v>
      </c>
      <c r="BQ56" s="153">
        <f t="shared" si="35"/>
        <v>0</v>
      </c>
      <c r="BR56" s="153">
        <f t="shared" si="36"/>
        <v>0</v>
      </c>
      <c r="BS56" s="220">
        <f t="shared" si="37"/>
        <v>0</v>
      </c>
      <c r="BT56" s="153">
        <f t="shared" si="38"/>
        <v>0</v>
      </c>
      <c r="BU56" s="157">
        <f t="shared" si="39"/>
        <v>0</v>
      </c>
      <c r="BV56" s="157">
        <f t="shared" si="40"/>
        <v>0</v>
      </c>
      <c r="BW56" s="150"/>
      <c r="BX56" s="155">
        <f t="shared" si="41"/>
        <v>0</v>
      </c>
      <c r="BY56" s="273">
        <f t="shared" si="44"/>
        <v>0</v>
      </c>
    </row>
    <row r="57" spans="1:77" ht="15.75" customHeight="1" thickBot="1">
      <c r="Y57" s="162"/>
      <c r="Z57" s="162"/>
      <c r="AA57" s="150"/>
      <c r="AB57" s="150"/>
      <c r="AC57" s="150"/>
      <c r="AD57" s="150"/>
      <c r="AE57" s="150"/>
      <c r="AF57" s="150"/>
      <c r="AG57" s="156"/>
      <c r="AH57" s="153"/>
      <c r="AI57" s="150"/>
      <c r="AJ57" s="150"/>
      <c r="AK57" s="163"/>
      <c r="AL57" s="163"/>
      <c r="AM57" s="163"/>
      <c r="AN57" s="163"/>
      <c r="AO57" s="163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H57" s="150"/>
      <c r="BI57" s="150"/>
      <c r="BJ57" s="150"/>
      <c r="BK57" s="150"/>
      <c r="BL57" s="150"/>
      <c r="BM57" s="150"/>
      <c r="BN57" s="150"/>
      <c r="BO57" s="150"/>
      <c r="BP57" s="150"/>
      <c r="BQ57" s="150"/>
      <c r="BR57" s="150"/>
      <c r="BS57" s="150"/>
      <c r="BT57" s="150"/>
      <c r="BU57" s="150"/>
      <c r="BV57" s="150"/>
      <c r="BW57" s="150"/>
      <c r="BX57" s="150"/>
    </row>
    <row r="58" spans="1:77" ht="15.75" customHeight="1" thickTop="1">
      <c r="A58" s="4" t="s">
        <v>156</v>
      </c>
      <c r="E58" t="s">
        <v>2</v>
      </c>
      <c r="F58" t="s">
        <v>50</v>
      </c>
      <c r="J58" s="4" t="s">
        <v>156</v>
      </c>
      <c r="X58" s="142" t="s">
        <v>10</v>
      </c>
      <c r="Y58" s="225">
        <f t="shared" ref="Y58:AK58" si="45">SUM(Y16:Y56)</f>
        <v>1140</v>
      </c>
      <c r="Z58" s="225">
        <f t="shared" si="45"/>
        <v>384.75</v>
      </c>
      <c r="AA58" s="225">
        <f t="shared" si="45"/>
        <v>1282.5</v>
      </c>
      <c r="AB58" s="225">
        <f t="shared" si="45"/>
        <v>0</v>
      </c>
      <c r="AC58" s="225">
        <f t="shared" si="45"/>
        <v>1524.75</v>
      </c>
      <c r="AD58" s="225">
        <f t="shared" si="45"/>
        <v>2850</v>
      </c>
      <c r="AE58" s="225">
        <f t="shared" si="45"/>
        <v>0</v>
      </c>
      <c r="AF58" s="225">
        <f t="shared" si="45"/>
        <v>30</v>
      </c>
      <c r="AG58" s="225">
        <f t="shared" si="45"/>
        <v>1282.5</v>
      </c>
      <c r="AH58" s="225">
        <f t="shared" si="45"/>
        <v>259.70625000000001</v>
      </c>
      <c r="AI58" s="225">
        <f t="shared" si="45"/>
        <v>2880</v>
      </c>
      <c r="AJ58" s="232">
        <f t="shared" si="45"/>
        <v>-1355.25</v>
      </c>
      <c r="AK58" s="232">
        <f t="shared" si="45"/>
        <v>0</v>
      </c>
      <c r="AL58" s="225">
        <f>SUM(AJ58,AL16)</f>
        <v>-1355.25</v>
      </c>
      <c r="AM58" s="232">
        <f>SUM(AM16:AM56)</f>
        <v>-1225.0767138497936</v>
      </c>
      <c r="AN58" s="163"/>
      <c r="AO58" s="225">
        <f t="shared" ref="AO58:BD58" si="46">SUM(AO16:AO56)</f>
        <v>1140</v>
      </c>
      <c r="AP58" s="225">
        <f t="shared" si="46"/>
        <v>384.75</v>
      </c>
      <c r="AQ58" s="225">
        <f t="shared" si="46"/>
        <v>1282.5</v>
      </c>
      <c r="AR58" s="225">
        <f t="shared" si="46"/>
        <v>0</v>
      </c>
      <c r="AS58" s="225">
        <f t="shared" si="46"/>
        <v>1524.75</v>
      </c>
      <c r="AT58" s="225">
        <f t="shared" si="46"/>
        <v>2850</v>
      </c>
      <c r="AU58" s="225">
        <f t="shared" si="46"/>
        <v>0</v>
      </c>
      <c r="AV58" s="225">
        <f t="shared" si="46"/>
        <v>0</v>
      </c>
      <c r="AW58" s="225">
        <f t="shared" si="46"/>
        <v>0</v>
      </c>
      <c r="AX58" s="225">
        <f t="shared" si="46"/>
        <v>43</v>
      </c>
      <c r="AY58" s="225">
        <f t="shared" si="46"/>
        <v>0</v>
      </c>
      <c r="AZ58" s="225">
        <f t="shared" si="46"/>
        <v>1282.5</v>
      </c>
      <c r="BA58" s="225">
        <f t="shared" si="46"/>
        <v>259.70625000000001</v>
      </c>
      <c r="BB58" s="225">
        <f t="shared" si="46"/>
        <v>2893</v>
      </c>
      <c r="BC58" s="232">
        <f t="shared" si="46"/>
        <v>-1368.25</v>
      </c>
      <c r="BD58" s="232">
        <f t="shared" si="46"/>
        <v>-1238.0257178018512</v>
      </c>
      <c r="BH58" s="225">
        <f t="shared" ref="BH58:BV58" si="47">SUM(BH16:BH56)</f>
        <v>2850</v>
      </c>
      <c r="BI58" s="225">
        <f t="shared" si="47"/>
        <v>0</v>
      </c>
      <c r="BJ58" s="225">
        <f t="shared" si="47"/>
        <v>0</v>
      </c>
      <c r="BK58" s="225">
        <f t="shared" si="47"/>
        <v>0</v>
      </c>
      <c r="BL58" s="225">
        <f t="shared" si="47"/>
        <v>0</v>
      </c>
      <c r="BM58" s="225">
        <f t="shared" si="47"/>
        <v>0</v>
      </c>
      <c r="BN58" s="225">
        <f t="shared" si="47"/>
        <v>2850</v>
      </c>
      <c r="BO58" s="225">
        <f t="shared" si="47"/>
        <v>2850</v>
      </c>
      <c r="BP58" s="225">
        <f t="shared" si="47"/>
        <v>0</v>
      </c>
      <c r="BQ58" s="225">
        <f t="shared" si="47"/>
        <v>0</v>
      </c>
      <c r="BR58" s="225">
        <f t="shared" si="47"/>
        <v>0</v>
      </c>
      <c r="BS58" s="225">
        <f t="shared" si="47"/>
        <v>0</v>
      </c>
      <c r="BT58" s="225">
        <f t="shared" si="47"/>
        <v>0</v>
      </c>
      <c r="BU58" s="225">
        <f t="shared" si="47"/>
        <v>2850</v>
      </c>
      <c r="BV58" s="225">
        <f t="shared" si="47"/>
        <v>0</v>
      </c>
      <c r="BW58" s="163"/>
      <c r="BX58" s="165">
        <f>SUM(BX16:BX56)</f>
        <v>0</v>
      </c>
    </row>
    <row r="59" spans="1:77" ht="15.75" customHeight="1">
      <c r="B59" t="s">
        <v>157</v>
      </c>
      <c r="C59" t="s">
        <v>158</v>
      </c>
      <c r="D59" t="s">
        <v>7</v>
      </c>
      <c r="E59" s="21">
        <f>O62</f>
        <v>1282.5</v>
      </c>
      <c r="F59" s="21">
        <f>P62</f>
        <v>1282.5</v>
      </c>
      <c r="J59" s="4" t="s">
        <v>157</v>
      </c>
      <c r="O59" t="s">
        <v>2</v>
      </c>
      <c r="P59" t="s">
        <v>50</v>
      </c>
      <c r="AA59"/>
      <c r="AB59"/>
      <c r="AC59"/>
      <c r="AD59"/>
      <c r="AE59"/>
      <c r="AF59"/>
      <c r="AG59"/>
      <c r="AH59"/>
      <c r="AI59"/>
      <c r="AJ59"/>
      <c r="AK59"/>
      <c r="AL59" s="31" t="s">
        <v>159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</row>
    <row r="60" spans="1:77" ht="15.75" customHeight="1">
      <c r="C60" t="s">
        <v>160</v>
      </c>
      <c r="D60" t="s">
        <v>38</v>
      </c>
      <c r="E60" s="138">
        <v>0.4</v>
      </c>
      <c r="F60" s="138">
        <v>0.4</v>
      </c>
      <c r="K60" t="s">
        <v>161</v>
      </c>
      <c r="N60" s="19" t="s">
        <v>7</v>
      </c>
      <c r="O60" s="51">
        <f>O29</f>
        <v>2850</v>
      </c>
      <c r="P60" s="51">
        <f>P29</f>
        <v>2850</v>
      </c>
      <c r="AL60" s="31" t="s">
        <v>162</v>
      </c>
      <c r="BY60"/>
    </row>
    <row r="61" spans="1:77" ht="10.5" customHeight="1">
      <c r="C61" t="s">
        <v>163</v>
      </c>
      <c r="D61" t="s">
        <v>38</v>
      </c>
      <c r="E61" s="3">
        <v>0.3</v>
      </c>
      <c r="F61" s="3">
        <v>0.3</v>
      </c>
      <c r="K61" t="s">
        <v>62</v>
      </c>
      <c r="N61" s="19" t="s">
        <v>7</v>
      </c>
      <c r="O61" s="51">
        <f>O60*$F$60</f>
        <v>1140</v>
      </c>
      <c r="P61" s="51">
        <f>P60*$F$60</f>
        <v>1140</v>
      </c>
      <c r="V61" s="19"/>
    </row>
    <row r="62" spans="1:77" ht="15.75" customHeight="1">
      <c r="C62" s="265" t="s">
        <v>164</v>
      </c>
      <c r="D62" t="s">
        <v>38</v>
      </c>
      <c r="E62" s="3">
        <v>0.75</v>
      </c>
      <c r="F62" s="3">
        <v>0.75</v>
      </c>
      <c r="J62" s="4"/>
      <c r="K62" t="s">
        <v>165</v>
      </c>
      <c r="N62" s="19" t="s">
        <v>7</v>
      </c>
      <c r="O62" s="51">
        <f>(O60-O61)*$F$62</f>
        <v>1282.5</v>
      </c>
      <c r="P62" s="51">
        <f>(P30-P61)*$F$62</f>
        <v>1282.5</v>
      </c>
      <c r="V62" s="19"/>
    </row>
    <row r="63" spans="1:77" ht="15.75" customHeight="1">
      <c r="C63" t="s">
        <v>166</v>
      </c>
      <c r="D63" t="s">
        <v>91</v>
      </c>
      <c r="E63" s="1">
        <v>3</v>
      </c>
      <c r="F63" s="1">
        <v>3</v>
      </c>
      <c r="K63" t="s">
        <v>167</v>
      </c>
      <c r="N63" s="19" t="s">
        <v>7</v>
      </c>
      <c r="O63" s="51">
        <f>O62*$F$61</f>
        <v>384.75</v>
      </c>
      <c r="P63" s="51">
        <f>P62*$F$61</f>
        <v>384.75</v>
      </c>
      <c r="V63" s="19"/>
    </row>
    <row r="64" spans="1:77" ht="15.75" customHeight="1">
      <c r="C64" s="55" t="s">
        <v>168</v>
      </c>
      <c r="D64" t="s">
        <v>91</v>
      </c>
      <c r="E64" s="1">
        <v>20</v>
      </c>
      <c r="F64" s="1">
        <v>20</v>
      </c>
      <c r="K64" t="s">
        <v>169</v>
      </c>
      <c r="N64" s="19" t="s">
        <v>7</v>
      </c>
      <c r="O64" s="51">
        <f>O62/$F$64</f>
        <v>64.125</v>
      </c>
      <c r="P64" s="51">
        <f>P62/$F$64</f>
        <v>64.125</v>
      </c>
      <c r="V64" s="19"/>
    </row>
    <row r="65" spans="1:23" ht="15.75" customHeight="1">
      <c r="C65" s="55" t="s">
        <v>170</v>
      </c>
      <c r="D65" t="s">
        <v>38</v>
      </c>
      <c r="E65" s="53">
        <v>1.4999999999999999E-2</v>
      </c>
      <c r="F65" s="53">
        <v>1.4999999999999999E-2</v>
      </c>
      <c r="K65" t="s">
        <v>171</v>
      </c>
      <c r="N65" s="19" t="s">
        <v>172</v>
      </c>
      <c r="O65" s="51">
        <f>$F$16+E63+1</f>
        <v>7</v>
      </c>
      <c r="P65" s="51">
        <f>$F$16+F63+1</f>
        <v>7</v>
      </c>
    </row>
    <row r="66" spans="1:23" ht="15.75" customHeight="1">
      <c r="B66" t="s">
        <v>173</v>
      </c>
      <c r="C66" s="19"/>
      <c r="J66" s="4" t="s">
        <v>173</v>
      </c>
      <c r="P66" t="s">
        <v>50</v>
      </c>
    </row>
    <row r="67" spans="1:23" ht="15.75" customHeight="1">
      <c r="E67" t="s">
        <v>2</v>
      </c>
      <c r="F67" t="s">
        <v>50</v>
      </c>
      <c r="K67" t="s">
        <v>174</v>
      </c>
      <c r="O67" s="19"/>
      <c r="P67" s="109">
        <f>SUM(F69:F70)</f>
        <v>0</v>
      </c>
    </row>
    <row r="68" spans="1:23" ht="15.75" customHeight="1">
      <c r="C68" t="s">
        <v>158</v>
      </c>
      <c r="D68" t="s">
        <v>7</v>
      </c>
      <c r="F68" s="21">
        <f>P31</f>
        <v>0</v>
      </c>
    </row>
    <row r="69" spans="1:23" ht="15.75" customHeight="1">
      <c r="C69" t="s">
        <v>114</v>
      </c>
      <c r="D69" t="s">
        <v>38</v>
      </c>
      <c r="F69" s="17"/>
      <c r="H69" s="71" t="s">
        <v>175</v>
      </c>
    </row>
    <row r="70" spans="1:23" ht="15.75" customHeight="1">
      <c r="C70" t="s">
        <v>119</v>
      </c>
      <c r="D70" t="s">
        <v>38</v>
      </c>
      <c r="F70" s="18"/>
      <c r="H70" s="147" t="s">
        <v>175</v>
      </c>
    </row>
    <row r="71" spans="1:23" ht="15.75" customHeight="1">
      <c r="C71" s="55" t="s">
        <v>176</v>
      </c>
      <c r="D71" t="s">
        <v>38</v>
      </c>
    </row>
    <row r="72" spans="1:23" ht="15.75" customHeight="1">
      <c r="A72" s="4" t="s">
        <v>177</v>
      </c>
      <c r="J72" s="4" t="s">
        <v>177</v>
      </c>
      <c r="O72" s="19"/>
      <c r="P72" s="19"/>
      <c r="R72" s="4" t="s">
        <v>178</v>
      </c>
      <c r="S72" s="4"/>
      <c r="T72" s="4"/>
    </row>
    <row r="73" spans="1:23" ht="15.75" customHeight="1">
      <c r="C73" t="s">
        <v>179</v>
      </c>
      <c r="O73" s="19"/>
      <c r="P73" s="5" t="s">
        <v>179</v>
      </c>
      <c r="U73" s="4" t="s">
        <v>180</v>
      </c>
    </row>
    <row r="74" spans="1:23" ht="15.75" customHeight="1">
      <c r="C74" s="2" t="s">
        <v>181</v>
      </c>
      <c r="D74" t="s">
        <v>7</v>
      </c>
      <c r="F74" s="259">
        <v>0</v>
      </c>
      <c r="H74" t="s">
        <v>203</v>
      </c>
      <c r="N74" t="s">
        <v>183</v>
      </c>
      <c r="O74" s="2"/>
      <c r="P74" s="20">
        <f>F74</f>
        <v>0</v>
      </c>
      <c r="S74" t="s">
        <v>184</v>
      </c>
      <c r="T74" s="19" t="s">
        <v>7</v>
      </c>
      <c r="U74" s="20">
        <f>F90</f>
        <v>0</v>
      </c>
    </row>
    <row r="75" spans="1:23" ht="15.75" customHeight="1">
      <c r="C75" s="2" t="s">
        <v>185</v>
      </c>
      <c r="D75" t="s">
        <v>38</v>
      </c>
      <c r="F75" s="111">
        <v>0.33579999999999999</v>
      </c>
      <c r="H75" t="s">
        <v>186</v>
      </c>
      <c r="N75" t="s">
        <v>187</v>
      </c>
      <c r="O75" s="2"/>
      <c r="P75" s="114">
        <f>F75</f>
        <v>0.33579999999999999</v>
      </c>
      <c r="S75" t="s">
        <v>187</v>
      </c>
      <c r="T75" t="s">
        <v>38</v>
      </c>
      <c r="U75" s="114">
        <f>F91</f>
        <v>0</v>
      </c>
    </row>
    <row r="76" spans="1:23" ht="15.75" customHeight="1">
      <c r="C76" t="s">
        <v>188</v>
      </c>
      <c r="N76" t="s">
        <v>189</v>
      </c>
      <c r="O76" s="2" t="s">
        <v>7</v>
      </c>
      <c r="P76" s="115">
        <f>P74*P75</f>
        <v>0</v>
      </c>
      <c r="S76" t="s">
        <v>189</v>
      </c>
      <c r="T76" s="19" t="s">
        <v>7</v>
      </c>
      <c r="U76" s="115">
        <f>U74*U75</f>
        <v>0</v>
      </c>
      <c r="W76" s="112"/>
    </row>
    <row r="77" spans="1:23" ht="15.75" customHeight="1">
      <c r="C77" s="2" t="s">
        <v>189</v>
      </c>
      <c r="D77" t="s">
        <v>7</v>
      </c>
      <c r="F77" s="110">
        <v>0</v>
      </c>
      <c r="H77" t="s">
        <v>190</v>
      </c>
      <c r="N77"/>
      <c r="O77" s="2"/>
      <c r="P77" s="103" t="s">
        <v>188</v>
      </c>
      <c r="T77" s="19"/>
      <c r="U77" s="4" t="s">
        <v>191</v>
      </c>
    </row>
    <row r="78" spans="1:23" ht="15.75" customHeight="1">
      <c r="N78" t="s">
        <v>189</v>
      </c>
      <c r="O78" s="2" t="s">
        <v>7</v>
      </c>
      <c r="P78" s="116">
        <f>F77</f>
        <v>0</v>
      </c>
      <c r="S78" t="s">
        <v>184</v>
      </c>
      <c r="T78" s="19" t="s">
        <v>7</v>
      </c>
      <c r="U78" s="20">
        <f>F93</f>
        <v>0</v>
      </c>
    </row>
    <row r="79" spans="1:23" ht="15.75" customHeight="1">
      <c r="C79" t="s">
        <v>192</v>
      </c>
      <c r="O79" s="2"/>
      <c r="P79" s="103" t="s">
        <v>192</v>
      </c>
      <c r="S79" t="s">
        <v>187</v>
      </c>
      <c r="T79" t="s">
        <v>38</v>
      </c>
      <c r="U79" s="114">
        <f>F94</f>
        <v>0</v>
      </c>
    </row>
    <row r="80" spans="1:23" ht="15.75" customHeight="1">
      <c r="C80" s="2" t="s">
        <v>184</v>
      </c>
      <c r="D80" t="s">
        <v>7</v>
      </c>
      <c r="F80" s="110">
        <v>0</v>
      </c>
      <c r="H80" t="s">
        <v>193</v>
      </c>
      <c r="N80" t="s">
        <v>194</v>
      </c>
      <c r="O80" s="2"/>
      <c r="P80" s="20">
        <f>F80</f>
        <v>0</v>
      </c>
      <c r="S80" t="s">
        <v>189</v>
      </c>
      <c r="T80" s="19" t="s">
        <v>7</v>
      </c>
      <c r="U80" s="115">
        <f>U78*U79</f>
        <v>0</v>
      </c>
    </row>
    <row r="81" spans="3:21" ht="15.75" customHeight="1">
      <c r="C81" s="2" t="s">
        <v>187</v>
      </c>
      <c r="D81" t="s">
        <v>38</v>
      </c>
      <c r="F81" s="132"/>
      <c r="H81" s="71" t="s">
        <v>195</v>
      </c>
      <c r="N81" t="s">
        <v>187</v>
      </c>
      <c r="O81" s="2"/>
      <c r="P81" s="114">
        <f>F81</f>
        <v>0</v>
      </c>
      <c r="T81" s="19"/>
      <c r="U81" s="4" t="s">
        <v>196</v>
      </c>
    </row>
    <row r="82" spans="3:21" ht="15.75" customHeight="1">
      <c r="C82" t="s">
        <v>197</v>
      </c>
      <c r="N82" t="s">
        <v>189</v>
      </c>
      <c r="O82" s="2" t="s">
        <v>7</v>
      </c>
      <c r="P82" s="115">
        <f>P80*P81</f>
        <v>0</v>
      </c>
      <c r="S82" t="s">
        <v>184</v>
      </c>
      <c r="T82" s="19" t="s">
        <v>7</v>
      </c>
      <c r="U82" s="20">
        <f>F96</f>
        <v>0</v>
      </c>
    </row>
    <row r="83" spans="3:21" ht="15.75" customHeight="1">
      <c r="C83" s="2" t="s">
        <v>184</v>
      </c>
      <c r="D83" t="s">
        <v>7</v>
      </c>
      <c r="F83" s="110">
        <v>0</v>
      </c>
      <c r="H83" t="s">
        <v>193</v>
      </c>
      <c r="O83" s="2"/>
      <c r="P83" s="103" t="s">
        <v>198</v>
      </c>
      <c r="S83" t="s">
        <v>187</v>
      </c>
      <c r="T83" t="s">
        <v>38</v>
      </c>
      <c r="U83" s="114">
        <f>F97</f>
        <v>0</v>
      </c>
    </row>
    <row r="84" spans="3:21">
      <c r="C84" s="2" t="s">
        <v>187</v>
      </c>
      <c r="D84" t="s">
        <v>38</v>
      </c>
      <c r="F84" s="132"/>
      <c r="H84" s="147" t="s">
        <v>195</v>
      </c>
      <c r="N84" t="s">
        <v>194</v>
      </c>
      <c r="O84" s="2"/>
      <c r="P84" s="20">
        <f>F83</f>
        <v>0</v>
      </c>
      <c r="S84" t="s">
        <v>189</v>
      </c>
      <c r="T84" s="19" t="s">
        <v>7</v>
      </c>
      <c r="U84" s="115">
        <f>U82*U83</f>
        <v>0</v>
      </c>
    </row>
    <row r="85" spans="3:21">
      <c r="C85" t="s">
        <v>198</v>
      </c>
      <c r="N85" t="s">
        <v>187</v>
      </c>
      <c r="O85" s="2"/>
      <c r="P85" s="114">
        <f>F87</f>
        <v>0</v>
      </c>
      <c r="T85" s="19"/>
    </row>
    <row r="86" spans="3:21">
      <c r="C86" s="2" t="s">
        <v>184</v>
      </c>
      <c r="D86" t="s">
        <v>7</v>
      </c>
      <c r="F86" s="110">
        <v>0</v>
      </c>
      <c r="H86" t="s">
        <v>199</v>
      </c>
      <c r="N86" t="s">
        <v>189</v>
      </c>
      <c r="O86" s="2" t="s">
        <v>7</v>
      </c>
      <c r="P86" s="115">
        <f>P84*P85</f>
        <v>0</v>
      </c>
      <c r="S86" t="s">
        <v>200</v>
      </c>
      <c r="T86" s="19" t="s">
        <v>7</v>
      </c>
      <c r="U86" s="117">
        <f>IF($F$13="都道府県",P82,0)</f>
        <v>0</v>
      </c>
    </row>
    <row r="87" spans="3:21">
      <c r="C87" s="2" t="s">
        <v>187</v>
      </c>
      <c r="D87" t="s">
        <v>38</v>
      </c>
      <c r="F87" s="132"/>
      <c r="H87" s="147" t="s">
        <v>195</v>
      </c>
      <c r="N87"/>
      <c r="O87" s="2"/>
      <c r="P87" s="145" t="s">
        <v>197</v>
      </c>
      <c r="S87" t="s">
        <v>201</v>
      </c>
      <c r="T87" s="19" t="s">
        <v>7</v>
      </c>
      <c r="U87" s="68">
        <f>IF($F$13="市町村",P90,0)</f>
        <v>0</v>
      </c>
    </row>
    <row r="88" spans="3:21">
      <c r="C88" t="s">
        <v>202</v>
      </c>
      <c r="N88" t="s">
        <v>194</v>
      </c>
      <c r="O88" s="2"/>
      <c r="P88" s="20">
        <f>F83</f>
        <v>0</v>
      </c>
    </row>
    <row r="89" spans="3:21">
      <c r="C89" t="s">
        <v>180</v>
      </c>
      <c r="N89" t="s">
        <v>187</v>
      </c>
      <c r="O89" s="2"/>
      <c r="P89" s="114">
        <f>F84</f>
        <v>0</v>
      </c>
    </row>
    <row r="90" spans="3:21">
      <c r="C90" s="2" t="s">
        <v>184</v>
      </c>
      <c r="D90" t="s">
        <v>7</v>
      </c>
      <c r="F90" s="259">
        <v>0</v>
      </c>
      <c r="H90" t="s">
        <v>203</v>
      </c>
      <c r="N90" t="s">
        <v>189</v>
      </c>
      <c r="O90" s="2" t="s">
        <v>7</v>
      </c>
      <c r="P90" s="115">
        <f>P88*P89</f>
        <v>0</v>
      </c>
    </row>
    <row r="91" spans="3:21">
      <c r="C91" s="2" t="s">
        <v>187</v>
      </c>
      <c r="D91" t="s">
        <v>38</v>
      </c>
      <c r="F91" s="1">
        <v>0</v>
      </c>
      <c r="H91" t="s">
        <v>204</v>
      </c>
      <c r="K91" s="4" t="s">
        <v>205</v>
      </c>
      <c r="N91"/>
      <c r="O91" s="2"/>
      <c r="R91" s="4" t="s">
        <v>206</v>
      </c>
      <c r="S91" s="4"/>
    </row>
    <row r="92" spans="3:21">
      <c r="C92" t="s">
        <v>207</v>
      </c>
      <c r="M92" t="s">
        <v>208</v>
      </c>
      <c r="N92" t="s">
        <v>189</v>
      </c>
      <c r="O92" s="2" t="s">
        <v>7</v>
      </c>
      <c r="P92" s="51">
        <f>P78</f>
        <v>0</v>
      </c>
      <c r="S92" t="s">
        <v>209</v>
      </c>
      <c r="T92" s="19" t="s">
        <v>7</v>
      </c>
      <c r="U92" s="68">
        <f>SUM(F99,U76,U80,U84,U86:U87)</f>
        <v>0</v>
      </c>
    </row>
    <row r="93" spans="3:21">
      <c r="C93" s="2" t="s">
        <v>184</v>
      </c>
      <c r="D93" t="s">
        <v>7</v>
      </c>
      <c r="F93" s="259">
        <v>0</v>
      </c>
      <c r="H93" t="s">
        <v>203</v>
      </c>
      <c r="M93" t="s">
        <v>209</v>
      </c>
      <c r="N93" t="s">
        <v>189</v>
      </c>
      <c r="O93" s="2" t="s">
        <v>7</v>
      </c>
      <c r="P93" s="118">
        <f>SUM(P76,P78,P82,P86,P90)</f>
        <v>0</v>
      </c>
      <c r="S93" t="s">
        <v>210</v>
      </c>
      <c r="T93" s="19" t="s">
        <v>7</v>
      </c>
      <c r="U93" s="68">
        <f>SUM(F100,U76,U80,U84)</f>
        <v>0</v>
      </c>
    </row>
    <row r="94" spans="3:21">
      <c r="C94" s="2" t="s">
        <v>187</v>
      </c>
      <c r="D94" t="s">
        <v>38</v>
      </c>
      <c r="F94" s="1">
        <v>0</v>
      </c>
      <c r="H94" t="s">
        <v>204</v>
      </c>
      <c r="M94" t="s">
        <v>210</v>
      </c>
      <c r="N94" t="s">
        <v>189</v>
      </c>
      <c r="O94" s="2" t="s">
        <v>7</v>
      </c>
      <c r="P94" s="119">
        <f>SUM(P76,P78,P90)</f>
        <v>0</v>
      </c>
    </row>
    <row r="95" spans="3:21">
      <c r="C95" s="55" t="s">
        <v>211</v>
      </c>
    </row>
    <row r="96" spans="3:21">
      <c r="C96" s="2" t="s">
        <v>184</v>
      </c>
      <c r="D96" t="s">
        <v>7</v>
      </c>
      <c r="F96" s="259">
        <v>0</v>
      </c>
      <c r="H96" t="s">
        <v>203</v>
      </c>
    </row>
    <row r="97" spans="1:16">
      <c r="C97" s="2" t="s">
        <v>187</v>
      </c>
      <c r="D97" t="s">
        <v>38</v>
      </c>
      <c r="F97" s="1">
        <v>0</v>
      </c>
      <c r="H97" t="s">
        <v>212</v>
      </c>
    </row>
    <row r="99" spans="1:16">
      <c r="C99" t="s">
        <v>213</v>
      </c>
      <c r="D99" t="s">
        <v>7</v>
      </c>
      <c r="F99" s="110"/>
    </row>
    <row r="100" spans="1:16">
      <c r="C100" t="s">
        <v>214</v>
      </c>
      <c r="D100" t="s">
        <v>7</v>
      </c>
      <c r="F100" s="110"/>
    </row>
    <row r="102" spans="1:16">
      <c r="A102" s="4" t="s">
        <v>215</v>
      </c>
      <c r="J102" s="4" t="s">
        <v>216</v>
      </c>
      <c r="O102" t="s">
        <v>2</v>
      </c>
      <c r="P102" t="s">
        <v>50</v>
      </c>
    </row>
    <row r="103" spans="1:16">
      <c r="C103" s="31"/>
      <c r="D103" s="31"/>
      <c r="E103" s="31"/>
      <c r="F103" s="31" t="s">
        <v>49</v>
      </c>
      <c r="K103" t="s">
        <v>217</v>
      </c>
      <c r="N103" s="19" t="s">
        <v>7</v>
      </c>
      <c r="O103" s="51">
        <f>F104</f>
        <v>0</v>
      </c>
      <c r="P103" s="52"/>
    </row>
    <row r="104" spans="1:16">
      <c r="C104" s="93" t="s">
        <v>138</v>
      </c>
      <c r="D104" t="s">
        <v>7</v>
      </c>
      <c r="F104" s="146"/>
      <c r="H104" s="147" t="s">
        <v>182</v>
      </c>
      <c r="K104" t="s">
        <v>218</v>
      </c>
      <c r="N104" s="19" t="s">
        <v>7</v>
      </c>
      <c r="O104" s="140">
        <f>F105*O16</f>
        <v>0</v>
      </c>
      <c r="P104" s="52"/>
    </row>
    <row r="105" spans="1:16">
      <c r="C105" s="93" t="s">
        <v>219</v>
      </c>
      <c r="D105" t="s">
        <v>7</v>
      </c>
      <c r="F105" s="146"/>
      <c r="H105" s="147" t="s">
        <v>182</v>
      </c>
      <c r="K105" t="s">
        <v>220</v>
      </c>
      <c r="N105" s="19" t="s">
        <v>7</v>
      </c>
      <c r="O105" s="51">
        <f>F106</f>
        <v>0</v>
      </c>
      <c r="P105" s="52"/>
    </row>
    <row r="106" spans="1:16">
      <c r="C106" s="93" t="s">
        <v>221</v>
      </c>
      <c r="D106" t="s">
        <v>7</v>
      </c>
      <c r="F106" s="146"/>
      <c r="H106" s="147" t="s">
        <v>182</v>
      </c>
      <c r="K106" t="s">
        <v>222</v>
      </c>
    </row>
    <row r="107" spans="1:16">
      <c r="C107" s="93"/>
      <c r="M107" t="s">
        <v>223</v>
      </c>
      <c r="N107" s="19" t="s">
        <v>38</v>
      </c>
      <c r="O107" s="69">
        <f>F65</f>
        <v>1.4999999999999999E-2</v>
      </c>
      <c r="P107" s="52"/>
    </row>
    <row r="108" spans="1:16">
      <c r="C108" s="93"/>
      <c r="M108" t="s">
        <v>224</v>
      </c>
      <c r="N108" s="19" t="s">
        <v>38</v>
      </c>
      <c r="O108" s="70">
        <f>P67</f>
        <v>0</v>
      </c>
      <c r="P108" s="52"/>
    </row>
    <row r="109" spans="1:16">
      <c r="C109" s="93"/>
      <c r="M109" t="s">
        <v>225</v>
      </c>
      <c r="N109" s="19" t="s">
        <v>38</v>
      </c>
      <c r="O109" s="69">
        <f>O108-O107</f>
        <v>-1.4999999999999999E-2</v>
      </c>
      <c r="P109" s="52"/>
    </row>
    <row r="110" spans="1:16">
      <c r="M110" s="94" t="s">
        <v>226</v>
      </c>
      <c r="N110" t="s">
        <v>7</v>
      </c>
      <c r="O110" s="140">
        <f>SUM(AK17:AK46)</f>
        <v>0</v>
      </c>
      <c r="P110" s="52"/>
    </row>
    <row r="112" spans="1:16" s="254" customFormat="1" ht="15" customHeight="1" thickBot="1">
      <c r="B112" s="254" t="s">
        <v>227</v>
      </c>
      <c r="I112" s="255"/>
    </row>
    <row r="113" ht="19" hidden="1" customHeight="1" thickTop="1"/>
  </sheetData>
  <phoneticPr fontId="2"/>
  <dataValidations count="2">
    <dataValidation type="list" showInputMessage="1" showErrorMessage="1" sqref="F13" xr:uid="{00000000-0002-0000-0300-000000000000}">
      <formula1>$O$13:$Q$13</formula1>
    </dataValidation>
    <dataValidation type="list" showInputMessage="1" showErrorMessage="1" sqref="F47" xr:uid="{00000000-0002-0000-0300-000001000000}">
      <formula1>$G$47:$G$48</formula1>
    </dataValidation>
  </dataValidations>
  <pageMargins left="0.23622047244094491" right="0.23622047244094491" top="0.74803149606299213" bottom="0.74803149606299213" header="0.31496062992125978" footer="0.31496062992125978"/>
  <pageSetup paperSize="8" scale="42" fitToWidth="0" orientation="landscape"/>
  <colBreaks count="2" manualBreakCount="2">
    <brk id="21" max="1048575" man="1"/>
    <brk id="5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  <pageSetUpPr fitToPage="1"/>
  </sheetPr>
  <dimension ref="A1:CM113"/>
  <sheetViews>
    <sheetView showGridLines="0" view="pageBreakPreview" topLeftCell="T2" zoomScale="70" zoomScaleNormal="40" zoomScaleSheetLayoutView="70" workbookViewId="0">
      <selection activeCell="BB28" sqref="BB28"/>
    </sheetView>
  </sheetViews>
  <sheetFormatPr baseColWidth="10" defaultColWidth="0" defaultRowHeight="18" zeroHeight="1" outlineLevelCol="1"/>
  <cols>
    <col min="1" max="1" width="4.83203125" style="286" customWidth="1"/>
    <col min="2" max="2" width="40.6640625" style="286" customWidth="1"/>
    <col min="3" max="3" width="40.1640625" style="286" bestFit="1" customWidth="1"/>
    <col min="4" max="4" width="7.33203125" style="286" customWidth="1"/>
    <col min="5" max="5" width="8.5" style="286" bestFit="1" customWidth="1"/>
    <col min="6" max="6" width="11.5" style="286" customWidth="1"/>
    <col min="7" max="7" width="2.5" style="286" customWidth="1"/>
    <col min="8" max="8" width="43.6640625" style="286" customWidth="1"/>
    <col min="9" max="9" width="1.6640625" style="286" customWidth="1"/>
    <col min="10" max="11" width="12.5" style="286" customWidth="1" outlineLevel="1"/>
    <col min="12" max="12" width="1.83203125" style="286" customWidth="1" outlineLevel="1"/>
    <col min="13" max="13" width="42.1640625" style="286" customWidth="1" outlineLevel="1"/>
    <col min="14" max="14" width="11.1640625" style="19" customWidth="1" outlineLevel="1"/>
    <col min="15" max="16" width="24.5" style="286" customWidth="1" outlineLevel="1"/>
    <col min="17" max="17" width="4.6640625" style="286" customWidth="1" outlineLevel="1"/>
    <col min="18" max="18" width="10" style="286" customWidth="1" outlineLevel="1"/>
    <col min="19" max="19" width="19.1640625" style="286" customWidth="1" outlineLevel="1"/>
    <col min="20" max="20" width="7.5" style="286" customWidth="1" outlineLevel="1"/>
    <col min="21" max="21" width="24.5" style="286" customWidth="1" outlineLevel="1"/>
    <col min="22" max="22" width="12" style="286" customWidth="1"/>
    <col min="23" max="23" width="9.6640625" style="286" customWidth="1"/>
    <col min="24" max="24" width="21.5" style="286" customWidth="1"/>
    <col min="25" max="26" width="10.83203125" style="286" customWidth="1"/>
    <col min="27" max="36" width="10.83203125" style="19" customWidth="1"/>
    <col min="37" max="38" width="10.83203125" style="31" customWidth="1"/>
    <col min="39" max="39" width="12" style="31" customWidth="1"/>
    <col min="40" max="40" width="1.6640625" style="31" customWidth="1"/>
    <col min="41" max="41" width="10.33203125" style="31" customWidth="1"/>
    <col min="42" max="45" width="10.33203125" style="19" customWidth="1"/>
    <col min="46" max="49" width="16" style="19" customWidth="1"/>
    <col min="50" max="54" width="10.6640625" style="19" customWidth="1"/>
    <col min="55" max="56" width="12" style="19" customWidth="1"/>
    <col min="57" max="57" width="1.6640625" style="19" customWidth="1"/>
    <col min="58" max="58" width="12" style="31" customWidth="1"/>
    <col min="59" max="59" width="1.5" style="19" customWidth="1"/>
    <col min="60" max="63" width="16" style="19" customWidth="1"/>
    <col min="64" max="70" width="12" style="19" customWidth="1"/>
    <col min="71" max="71" width="16.83203125" style="19" customWidth="1"/>
    <col min="72" max="74" width="12" style="19" customWidth="1"/>
    <col min="75" max="75" width="2.1640625" style="19" customWidth="1"/>
    <col min="76" max="76" width="12" style="19" customWidth="1"/>
    <col min="77" max="77" width="21" style="19" bestFit="1" customWidth="1"/>
    <col min="78" max="78" width="3.33203125" style="19" hidden="1" customWidth="1"/>
    <col min="79" max="79" width="0" style="19" hidden="1" customWidth="1"/>
    <col min="80" max="91" width="0" style="286" hidden="1" customWidth="1"/>
    <col min="92" max="92" width="9" style="286" hidden="1" customWidth="1"/>
    <col min="93" max="16384" width="9" style="286" hidden="1"/>
  </cols>
  <sheetData>
    <row r="1" spans="1:79" ht="15.75" customHeight="1"/>
    <row r="2" spans="1:79">
      <c r="B2" s="4" t="s">
        <v>24</v>
      </c>
      <c r="Y2" s="233"/>
      <c r="Z2" s="2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26"/>
      <c r="AL2" s="226"/>
      <c r="AM2" s="226"/>
      <c r="AO2" s="226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</row>
    <row r="3" spans="1:79">
      <c r="B3" s="260" t="s">
        <v>25</v>
      </c>
      <c r="Y3" s="233"/>
      <c r="Z3" s="2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226"/>
      <c r="AL3" s="226"/>
      <c r="AM3" s="226"/>
      <c r="AO3" s="226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</row>
    <row r="4" spans="1:79">
      <c r="B4" s="261" t="s">
        <v>26</v>
      </c>
      <c r="Y4" s="233"/>
      <c r="Z4" s="2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26"/>
      <c r="AL4" s="226"/>
      <c r="AM4" s="226"/>
      <c r="AO4" s="226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</row>
    <row r="5" spans="1:79" ht="15.75" customHeight="1">
      <c r="B5" s="262" t="s">
        <v>27</v>
      </c>
      <c r="Y5" s="233"/>
      <c r="Z5" s="2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226"/>
      <c r="AL5" s="226"/>
      <c r="AM5" s="226"/>
      <c r="AO5" s="226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</row>
    <row r="6" spans="1:79" ht="15.75" customHeight="1">
      <c r="Y6" s="233"/>
      <c r="Z6" s="2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226"/>
      <c r="AL6" s="226"/>
      <c r="AM6" s="226"/>
      <c r="AO6" s="226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pans="1:79" s="4" customFormat="1" ht="15.75" customHeight="1">
      <c r="A7" s="25" t="s">
        <v>229</v>
      </c>
      <c r="B7" s="25"/>
      <c r="C7" s="25"/>
      <c r="D7" s="25"/>
      <c r="E7" s="25"/>
      <c r="F7" s="25"/>
      <c r="G7" s="25"/>
      <c r="H7" s="25"/>
      <c r="I7" s="25"/>
      <c r="J7" s="24" t="s">
        <v>29</v>
      </c>
      <c r="K7" s="24"/>
      <c r="L7" s="24"/>
      <c r="M7" s="24"/>
      <c r="N7" s="84"/>
      <c r="O7" s="24"/>
      <c r="P7" s="24"/>
      <c r="Q7" s="24"/>
      <c r="R7" s="24"/>
      <c r="S7" s="24"/>
      <c r="T7" s="24"/>
      <c r="U7" s="24"/>
      <c r="V7" s="22" t="s">
        <v>30</v>
      </c>
      <c r="W7" s="22"/>
      <c r="X7" s="22"/>
      <c r="Y7" s="22"/>
      <c r="Z7" s="22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30"/>
      <c r="AL7" s="30"/>
      <c r="AM7" s="30"/>
      <c r="AN7" s="30"/>
      <c r="AO7" s="30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30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</row>
    <row r="8" spans="1:79" s="4" customFormat="1" ht="15.75" customHeight="1">
      <c r="A8" s="247"/>
      <c r="B8" s="263" t="s">
        <v>31</v>
      </c>
      <c r="C8" s="247"/>
      <c r="D8" s="247"/>
      <c r="E8" s="247"/>
      <c r="F8" s="247"/>
      <c r="G8" s="247"/>
      <c r="H8" s="247"/>
      <c r="I8" s="247"/>
      <c r="N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250"/>
      <c r="AL8" s="250"/>
      <c r="AM8" s="250"/>
      <c r="AN8" s="250"/>
      <c r="AO8" s="250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250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1:79" ht="15.75" customHeight="1" thickBot="1">
      <c r="W9" s="54" t="s">
        <v>32</v>
      </c>
      <c r="X9" s="49"/>
      <c r="Y9" s="49"/>
      <c r="AC9" s="8" t="s">
        <v>33</v>
      </c>
    </row>
    <row r="10" spans="1:79" ht="15.75" customHeight="1">
      <c r="D10" t="s">
        <v>34</v>
      </c>
      <c r="K10" s="19"/>
      <c r="L10" s="19"/>
      <c r="M10" s="19"/>
      <c r="N10" s="19" t="s">
        <v>34</v>
      </c>
      <c r="O10" s="19"/>
      <c r="P10" s="19"/>
      <c r="Q10" s="19" t="s">
        <v>35</v>
      </c>
      <c r="R10" s="19"/>
      <c r="S10" s="19"/>
      <c r="T10" s="19"/>
      <c r="U10" s="19"/>
      <c r="W10" s="10" t="s">
        <v>36</v>
      </c>
      <c r="X10" s="11" t="s">
        <v>37</v>
      </c>
      <c r="Y10" s="12" t="s">
        <v>38</v>
      </c>
      <c r="AC10" s="9" t="s">
        <v>39</v>
      </c>
      <c r="BQ10" s="5"/>
      <c r="BR10" s="5"/>
      <c r="BS10" s="5"/>
      <c r="BT10" s="5"/>
      <c r="BY10" s="5"/>
    </row>
    <row r="11" spans="1:79" ht="15.75" customHeight="1" thickBot="1">
      <c r="A11" s="4" t="s">
        <v>40</v>
      </c>
      <c r="J11" s="4" t="s">
        <v>40</v>
      </c>
      <c r="W11" s="168">
        <f>AL58-BC58</f>
        <v>-117</v>
      </c>
      <c r="X11" s="169">
        <f>AM58-BD58</f>
        <v>-70.872674382324476</v>
      </c>
      <c r="Y11" s="56">
        <f>X11/AM58</f>
        <v>3.5457340646681754E-2</v>
      </c>
      <c r="AC11" s="164" t="str">
        <f>IFERROR(XIRR(BV17:BV56,V17:V56),"N/A")</f>
        <v>N/A</v>
      </c>
      <c r="AD11" s="55" t="s">
        <v>41</v>
      </c>
      <c r="BQ11" s="5"/>
      <c r="BR11" s="5"/>
      <c r="BS11" s="5"/>
      <c r="BT11" s="5"/>
      <c r="BY11" s="5"/>
    </row>
    <row r="12" spans="1:79" ht="15.75" customHeight="1">
      <c r="AA12"/>
      <c r="AB12"/>
      <c r="AC12"/>
      <c r="AD12"/>
    </row>
    <row r="13" spans="1:79" ht="15.75" customHeight="1">
      <c r="B13" t="s">
        <v>42</v>
      </c>
      <c r="F13" s="29" t="s">
        <v>43</v>
      </c>
      <c r="J13" t="s">
        <v>42</v>
      </c>
      <c r="O13" t="s">
        <v>44</v>
      </c>
      <c r="P13" t="s">
        <v>45</v>
      </c>
      <c r="Q13" t="s">
        <v>43</v>
      </c>
      <c r="V13" s="5" t="s">
        <v>46</v>
      </c>
      <c r="W13" s="5" t="s">
        <v>47</v>
      </c>
      <c r="X13" s="5" t="s">
        <v>48</v>
      </c>
      <c r="Y13" s="58" t="s">
        <v>2</v>
      </c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102"/>
      <c r="AK13" s="143" t="s">
        <v>49</v>
      </c>
      <c r="AL13" s="144"/>
      <c r="AM13" s="95"/>
      <c r="AN13" s="32"/>
      <c r="AO13" s="202" t="s">
        <v>50</v>
      </c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4"/>
      <c r="BD13" s="205" t="s">
        <v>51</v>
      </c>
      <c r="BE13" s="33"/>
      <c r="BF13" s="19"/>
      <c r="BH13" s="64" t="s">
        <v>52</v>
      </c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133"/>
      <c r="BX13" s="83" t="s">
        <v>53</v>
      </c>
      <c r="BY13" s="83" t="s">
        <v>54</v>
      </c>
    </row>
    <row r="14" spans="1:79" ht="15.75" customHeight="1">
      <c r="B14" t="s">
        <v>55</v>
      </c>
      <c r="D14" t="s">
        <v>56</v>
      </c>
      <c r="F14" s="131" t="s">
        <v>230</v>
      </c>
      <c r="Y14" s="58" t="s">
        <v>58</v>
      </c>
      <c r="Z14" s="59"/>
      <c r="AA14" s="59"/>
      <c r="AB14" s="59"/>
      <c r="AC14" s="60"/>
      <c r="AD14" s="58" t="s">
        <v>59</v>
      </c>
      <c r="AE14" s="59"/>
      <c r="AF14" s="59"/>
      <c r="AG14" s="59"/>
      <c r="AH14" s="59"/>
      <c r="AI14" s="141"/>
      <c r="AJ14" s="104" t="s">
        <v>51</v>
      </c>
      <c r="AK14" s="95"/>
      <c r="AL14" s="34"/>
      <c r="AM14" s="106" t="s">
        <v>51</v>
      </c>
      <c r="AN14" s="32"/>
      <c r="AO14" s="62" t="s">
        <v>58</v>
      </c>
      <c r="AP14" s="61"/>
      <c r="AQ14" s="61"/>
      <c r="AR14" s="61"/>
      <c r="AS14" s="63"/>
      <c r="AT14" s="61" t="s">
        <v>59</v>
      </c>
      <c r="AU14" s="61"/>
      <c r="AV14" s="61"/>
      <c r="AW14" s="61"/>
      <c r="AX14" s="61"/>
      <c r="AY14" s="61"/>
      <c r="AZ14" s="61"/>
      <c r="BA14" s="61"/>
      <c r="BB14" s="63"/>
      <c r="BC14" s="35" t="s">
        <v>51</v>
      </c>
      <c r="BD14" s="35" t="s">
        <v>60</v>
      </c>
      <c r="BE14" s="33"/>
      <c r="BF14" s="19"/>
      <c r="BH14" s="64" t="s">
        <v>58</v>
      </c>
      <c r="BI14" s="65"/>
      <c r="BJ14" s="65"/>
      <c r="BK14" s="65"/>
      <c r="BL14" s="65"/>
      <c r="BM14" s="65"/>
      <c r="BN14" s="66"/>
      <c r="BO14" s="64" t="s">
        <v>59</v>
      </c>
      <c r="BP14" s="65"/>
      <c r="BQ14" s="65"/>
      <c r="BR14" s="65"/>
      <c r="BS14" s="65"/>
      <c r="BT14" s="65"/>
      <c r="BU14" s="66"/>
      <c r="BV14" s="44" t="s">
        <v>51</v>
      </c>
      <c r="BX14" s="90"/>
      <c r="BY14" s="275" t="s">
        <v>61</v>
      </c>
    </row>
    <row r="15" spans="1:79" s="233" customFormat="1" ht="32.25" customHeight="1">
      <c r="N15" s="33"/>
      <c r="Y15" s="39" t="s">
        <v>62</v>
      </c>
      <c r="Z15" s="40" t="s">
        <v>63</v>
      </c>
      <c r="AA15" s="40" t="s">
        <v>64</v>
      </c>
      <c r="AB15" s="40" t="s">
        <v>65</v>
      </c>
      <c r="AC15" s="41" t="s">
        <v>66</v>
      </c>
      <c r="AD15" s="39" t="s">
        <v>67</v>
      </c>
      <c r="AE15" s="40" t="s">
        <v>68</v>
      </c>
      <c r="AF15" s="40" t="s">
        <v>79</v>
      </c>
      <c r="AG15" s="40" t="s">
        <v>70</v>
      </c>
      <c r="AH15" s="40" t="s">
        <v>71</v>
      </c>
      <c r="AI15" s="42" t="s">
        <v>72</v>
      </c>
      <c r="AJ15" s="96"/>
      <c r="AK15" s="82" t="s">
        <v>73</v>
      </c>
      <c r="AL15" s="42" t="s">
        <v>10</v>
      </c>
      <c r="AM15" s="108" t="s">
        <v>60</v>
      </c>
      <c r="AN15" s="32"/>
      <c r="AO15" s="85" t="s">
        <v>62</v>
      </c>
      <c r="AP15" s="86" t="s">
        <v>63</v>
      </c>
      <c r="AQ15" s="86" t="s">
        <v>64</v>
      </c>
      <c r="AR15" s="86" t="s">
        <v>74</v>
      </c>
      <c r="AS15" s="43" t="s">
        <v>66</v>
      </c>
      <c r="AT15" s="86" t="s">
        <v>75</v>
      </c>
      <c r="AU15" s="86" t="s">
        <v>76</v>
      </c>
      <c r="AV15" s="86" t="s">
        <v>77</v>
      </c>
      <c r="AW15" s="86" t="s">
        <v>78</v>
      </c>
      <c r="AX15" s="86" t="s">
        <v>79</v>
      </c>
      <c r="AY15" s="86" t="s">
        <v>80</v>
      </c>
      <c r="AZ15" s="86" t="s">
        <v>70</v>
      </c>
      <c r="BA15" s="86" t="s">
        <v>71</v>
      </c>
      <c r="BB15" s="43" t="s">
        <v>72</v>
      </c>
      <c r="BC15" s="87"/>
      <c r="BD15" s="43"/>
      <c r="BE15" s="33"/>
      <c r="BF15" s="252" t="s">
        <v>81</v>
      </c>
      <c r="BG15" s="33"/>
      <c r="BH15" s="45" t="s">
        <v>75</v>
      </c>
      <c r="BI15" s="37" t="s">
        <v>76</v>
      </c>
      <c r="BJ15" s="37" t="s">
        <v>77</v>
      </c>
      <c r="BK15" s="37" t="s">
        <v>78</v>
      </c>
      <c r="BL15" s="37" t="s">
        <v>82</v>
      </c>
      <c r="BM15" s="37" t="s">
        <v>65</v>
      </c>
      <c r="BN15" s="38" t="s">
        <v>66</v>
      </c>
      <c r="BO15" s="37" t="s">
        <v>83</v>
      </c>
      <c r="BP15" s="37" t="s">
        <v>84</v>
      </c>
      <c r="BQ15" s="37" t="s">
        <v>85</v>
      </c>
      <c r="BR15" s="37" t="s">
        <v>86</v>
      </c>
      <c r="BS15" s="37" t="s">
        <v>87</v>
      </c>
      <c r="BT15" s="37" t="s">
        <v>88</v>
      </c>
      <c r="BU15" s="38" t="s">
        <v>72</v>
      </c>
      <c r="BV15" s="38"/>
      <c r="BW15" s="33"/>
      <c r="BX15" s="91"/>
      <c r="BY15" s="274">
        <f>IF(SUM(BY17:BY46)=0,0,1)</f>
        <v>0</v>
      </c>
      <c r="BZ15" s="33"/>
    </row>
    <row r="16" spans="1:79" ht="15.75" customHeight="1">
      <c r="B16" t="s">
        <v>89</v>
      </c>
      <c r="C16" t="s">
        <v>90</v>
      </c>
      <c r="D16" t="s">
        <v>91</v>
      </c>
      <c r="F16" s="1">
        <v>3</v>
      </c>
      <c r="J16" s="4" t="s">
        <v>92</v>
      </c>
      <c r="N16" s="19" t="s">
        <v>91</v>
      </c>
      <c r="O16" s="20">
        <f>SUM(F16:F17)</f>
        <v>23</v>
      </c>
      <c r="V16" s="103" t="s">
        <v>49</v>
      </c>
      <c r="Y16" s="166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63"/>
      <c r="AL16" s="155">
        <f>-SUM(BS17,SUM(BR17:BR46),O105,O110)</f>
        <v>0</v>
      </c>
      <c r="AM16" s="155">
        <f>AL16*BF16</f>
        <v>0</v>
      </c>
      <c r="AN16" s="163"/>
      <c r="AO16" s="148"/>
      <c r="AP16" s="149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67"/>
      <c r="BE16" s="31"/>
      <c r="BF16" s="105">
        <v>1</v>
      </c>
      <c r="BH16" s="148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149"/>
      <c r="BT16" s="149"/>
      <c r="BU16" s="149"/>
      <c r="BV16" s="149"/>
      <c r="BW16" s="150"/>
      <c r="BX16" s="151"/>
      <c r="BY16" s="270"/>
      <c r="CA16"/>
    </row>
    <row r="17" spans="1:79" ht="15.75" customHeight="1">
      <c r="C17" t="s">
        <v>93</v>
      </c>
      <c r="D17" t="s">
        <v>91</v>
      </c>
      <c r="F17" s="1">
        <v>20</v>
      </c>
      <c r="J17" s="113"/>
      <c r="V17" s="57">
        <f>IF(W17=1,DATE(YEAR($F$18)+(MONTH($F$18)&gt;=4),4,0),EOMONTH(V15,12))</f>
        <v>45747</v>
      </c>
      <c r="W17" s="6">
        <v>1</v>
      </c>
      <c r="X17" s="269" t="str">
        <f t="shared" ref="X17:X56" si="0">IF(W17&gt;$O$16,"-",IF($W17&lt;=$F$16,"整備期間","維持管理・運営期間"))</f>
        <v>整備期間</v>
      </c>
      <c r="Y17" s="158">
        <f t="shared" ref="Y17:Y56" si="1">IF($W17=$F$16,$O$61,0)</f>
        <v>0</v>
      </c>
      <c r="Z17" s="156">
        <f t="shared" ref="Z17:Z56" si="2">IF($W17=$F$16,$O$63,0)</f>
        <v>0</v>
      </c>
      <c r="AA17" s="156">
        <f t="shared" ref="AA17:AA56" si="3">IF($W17=$F$16,$O$62,0)</f>
        <v>0</v>
      </c>
      <c r="AB17" s="156">
        <f t="shared" ref="AB17:AB56" si="4">IF(X17="維持管理・運営期間",$F$56,0)</f>
        <v>0</v>
      </c>
      <c r="AC17" s="157">
        <f t="shared" ref="AC17:AC56" si="5">SUM(Y17:Z17,AB17)</f>
        <v>0</v>
      </c>
      <c r="AD17" s="158">
        <f t="shared" ref="AD17:AD56" si="6">IF($W17=$F$16,$O$30,0)</f>
        <v>0</v>
      </c>
      <c r="AE17" s="156">
        <f t="shared" ref="AE17:AE56" si="7">IF($X17="維持管理・運営期間",$O$41,0)</f>
        <v>0</v>
      </c>
      <c r="AF17" s="156">
        <f t="shared" ref="AF17:AF56" si="8">IF(AND($W17&gt;0,$W17&lt;=$O$16),$E$45,0)</f>
        <v>10</v>
      </c>
      <c r="AG17" s="156">
        <f>IF(AND(SUM($AA$16:AA16)&gt;0,SUM($AG$16:AG16)&lt;$O$62,$W17&gt;=$O$65),$O$64,0)</f>
        <v>0</v>
      </c>
      <c r="AH17" s="222">
        <f>IF(SUM($AA16:$AA$17)&gt;0,($O$62-SUM($AG16:$AG$17))*$E$65,0)</f>
        <v>0</v>
      </c>
      <c r="AI17" s="157">
        <f t="shared" ref="AI17:AI56" si="9">SUM(AD17:AF17)</f>
        <v>10</v>
      </c>
      <c r="AJ17" s="156">
        <f t="shared" ref="AJ17:AJ56" si="10">AC17-AI17</f>
        <v>-10</v>
      </c>
      <c r="AK17" s="159"/>
      <c r="AL17" s="160"/>
      <c r="AM17" s="157">
        <f t="shared" ref="AM17:AM56" si="11">AJ17*$BF17</f>
        <v>-9.6665055582406971</v>
      </c>
      <c r="AN17" s="161"/>
      <c r="AO17" s="158">
        <f t="shared" ref="AO17:AO56" si="12">IF($W17=$F$16,$P$61,0)</f>
        <v>0</v>
      </c>
      <c r="AP17" s="156">
        <f t="shared" ref="AP17:AP56" si="13">IF($W17=$F$16,$P$63,0)</f>
        <v>0</v>
      </c>
      <c r="AQ17" s="156">
        <f t="shared" ref="AQ17:AQ56" si="14">IF($W17=$F$16,$P$62,0)</f>
        <v>0</v>
      </c>
      <c r="AR17" s="156">
        <f t="shared" ref="AR17:AR56" si="15">IF($W17&lt;$O$16,IF(W17=$F$16,$U$92,$U$93),0)</f>
        <v>0</v>
      </c>
      <c r="AS17" s="157">
        <f t="shared" ref="AS17:AS56" si="16">SUM(AO17:AP17,AR17)</f>
        <v>0</v>
      </c>
      <c r="AT17" s="156">
        <f t="shared" ref="AT17:AT56" si="17">IF(W17=$F$16,$P$30,0)</f>
        <v>0</v>
      </c>
      <c r="AU17" s="156">
        <f t="shared" ref="AU17:AU56" si="18">IFERROR(-PPMT($P$36,W17-$F$16,$F$17,SUM(P$31,P$51)),0)</f>
        <v>0</v>
      </c>
      <c r="AV17" s="156">
        <f t="shared" ref="AV17:AV56" si="19">IFERROR(-IPMT($P$36,W17-$F$16,$F$17,SUM($P$31,$P$51)),0)</f>
        <v>0</v>
      </c>
      <c r="AW17" s="156">
        <f t="shared" ref="AW17:AW56" si="20">IF(AND(W17&gt;$F$16,W17&lt;=SUM($F$16:$F$17)),$P$43,0)</f>
        <v>0</v>
      </c>
      <c r="AX17" s="156">
        <f t="shared" ref="AX17:AX56" si="21">IF($W17=1,$F$44,0)+IF(AND($W17&gt;0,$W17&lt;=$O$16),$F$45,0)</f>
        <v>31</v>
      </c>
      <c r="AY17" s="156">
        <f t="shared" ref="AY17:AY56" si="22">IF(AND(W17&gt;$F$16,W17&lt;=SUM($F$16:$F$17)),$P$54,0)</f>
        <v>0</v>
      </c>
      <c r="AZ17" s="156">
        <f>IF(AND(SUM($AQ$16:AQ16)&gt;0,SUM($AZ$16:AZ16)&lt;$P$62,$W17&gt;=$P$65),$P$64,0)</f>
        <v>0</v>
      </c>
      <c r="BA17" s="156">
        <f>IF(SUM($AQ16:$AQ$17)&gt;0,($P$62-SUM($AZ16:$AZ$17))*$F$65,0)</f>
        <v>0</v>
      </c>
      <c r="BB17" s="157">
        <f t="shared" ref="BB17:BB56" si="23">SUM(AT17:AY17)</f>
        <v>31</v>
      </c>
      <c r="BC17" s="156">
        <f t="shared" ref="BC17:BC56" si="24">AS17-BB17</f>
        <v>-31</v>
      </c>
      <c r="BD17" s="157">
        <f t="shared" ref="BD17:BD56" si="25">BC17*$BF17</f>
        <v>-29.966167230546159</v>
      </c>
      <c r="BE17" s="48"/>
      <c r="BF17" s="46">
        <f>1/(1+$O$22)</f>
        <v>0.96665055582406967</v>
      </c>
      <c r="BH17" s="152">
        <f t="shared" ref="BH17:BH56" si="26">AT17</f>
        <v>0</v>
      </c>
      <c r="BI17" s="152">
        <f t="shared" ref="BI17:BI56" si="27">AU17</f>
        <v>0</v>
      </c>
      <c r="BJ17" s="153">
        <f t="shared" ref="BJ17:BJ56" si="28">AV17</f>
        <v>0</v>
      </c>
      <c r="BK17" s="153">
        <f t="shared" ref="BK17:BK56" si="29">AW17</f>
        <v>0</v>
      </c>
      <c r="BL17" s="153">
        <f t="shared" ref="BL17:BL56" si="30">AY17</f>
        <v>0</v>
      </c>
      <c r="BM17" s="153">
        <f t="shared" ref="BM17:BM56" si="31">IF($W17&gt;$F$16,$F$56,0)</f>
        <v>0</v>
      </c>
      <c r="BN17" s="154">
        <f t="shared" ref="BN17:BN56" si="32">SUM(BH17:BM17)</f>
        <v>0</v>
      </c>
      <c r="BO17" s="153">
        <f t="shared" ref="BO17:BO56" si="33">IF($W17=$F$16,$P$32,0)</f>
        <v>0</v>
      </c>
      <c r="BP17" s="153">
        <f t="shared" ref="BP17:BP56" si="34">IF(AND(W17&gt;$F$16,W17&lt;=SUM($F$16:$F$17)),$P$41,0)</f>
        <v>0</v>
      </c>
      <c r="BQ17" s="153">
        <f t="shared" ref="BQ17:BQ56" si="35">IFERROR(-IPMT($P$67,W17-$F$16,$F$17,SUM(P$31,P$51)),0)</f>
        <v>0</v>
      </c>
      <c r="BR17" s="153">
        <f t="shared" ref="BR17:BR56" si="36">IF($W17&lt;=$O$16,$F$105,0)</f>
        <v>0</v>
      </c>
      <c r="BS17" s="220">
        <f t="shared" ref="BS17:BS56" si="37">IF($W17=1,SUM($O$103,$O$105),0)</f>
        <v>0</v>
      </c>
      <c r="BT17" s="153">
        <f t="shared" ref="BT17:BT56" si="38">IF($W17&lt;$O$16,IF(W17=$F$16,$P$93,$P$94),0)</f>
        <v>0</v>
      </c>
      <c r="BU17" s="154">
        <f t="shared" ref="BU17:BU56" si="39">SUM(BO17:BP17,BR17:BT17)</f>
        <v>0</v>
      </c>
      <c r="BV17" s="154">
        <f t="shared" ref="BV17:BV56" si="40">BN17-BU17</f>
        <v>0</v>
      </c>
      <c r="BW17" s="150"/>
      <c r="BX17" s="155">
        <f t="shared" ref="BX17:BX56" si="41">IFERROR(-PPMT($P$67,$W17-$F$16,$F$17,SUM(P$31,P$51)),0)</f>
        <v>0</v>
      </c>
      <c r="BY17" s="271"/>
      <c r="CA17"/>
    </row>
    <row r="18" spans="1:79" ht="15.75" customHeight="1">
      <c r="C18" t="s">
        <v>94</v>
      </c>
      <c r="F18" s="67">
        <v>45383</v>
      </c>
      <c r="J18" s="113"/>
      <c r="V18" s="57">
        <f t="shared" ref="V18:V56" si="42">IF(W18=1,DATE(YEAR($F$18)+(MONTH($F$18)&gt;=4),4,0),EOMONTH(V17,12))</f>
        <v>46112</v>
      </c>
      <c r="W18" s="7">
        <v>2</v>
      </c>
      <c r="X18" s="269" t="str">
        <f t="shared" si="0"/>
        <v>整備期間</v>
      </c>
      <c r="Y18" s="158">
        <f t="shared" si="1"/>
        <v>0</v>
      </c>
      <c r="Z18" s="156">
        <f t="shared" si="2"/>
        <v>0</v>
      </c>
      <c r="AA18" s="156">
        <f t="shared" si="3"/>
        <v>0</v>
      </c>
      <c r="AB18" s="156">
        <f t="shared" si="4"/>
        <v>0</v>
      </c>
      <c r="AC18" s="157">
        <f t="shared" si="5"/>
        <v>0</v>
      </c>
      <c r="AD18" s="158">
        <f t="shared" si="6"/>
        <v>0</v>
      </c>
      <c r="AE18" s="156">
        <f t="shared" si="7"/>
        <v>0</v>
      </c>
      <c r="AF18" s="156">
        <f t="shared" si="8"/>
        <v>10</v>
      </c>
      <c r="AG18" s="156">
        <f>IF(AND(SUM($AA$16:AA17)&gt;0,SUM($AG$16:AG17)&lt;$O$62,$W18&gt;=$O$65),$O$64,0)</f>
        <v>0</v>
      </c>
      <c r="AH18" s="220">
        <f>IF(SUM($AA17:$AA$17)&gt;0,($O$62-SUM($AG17:$AG$17))*$E$65,0)</f>
        <v>0</v>
      </c>
      <c r="AI18" s="157">
        <f t="shared" si="9"/>
        <v>10</v>
      </c>
      <c r="AJ18" s="153">
        <f t="shared" si="10"/>
        <v>-10</v>
      </c>
      <c r="AK18" s="159"/>
      <c r="AL18" s="160"/>
      <c r="AM18" s="154">
        <f t="shared" si="11"/>
        <v>-9.3441329707498273</v>
      </c>
      <c r="AN18" s="161"/>
      <c r="AO18" s="152">
        <f t="shared" si="12"/>
        <v>0</v>
      </c>
      <c r="AP18" s="153">
        <f t="shared" si="13"/>
        <v>0</v>
      </c>
      <c r="AQ18" s="153">
        <f t="shared" si="14"/>
        <v>0</v>
      </c>
      <c r="AR18" s="156">
        <f t="shared" si="15"/>
        <v>0</v>
      </c>
      <c r="AS18" s="157">
        <f t="shared" si="16"/>
        <v>0</v>
      </c>
      <c r="AT18" s="156">
        <f t="shared" si="17"/>
        <v>0</v>
      </c>
      <c r="AU18" s="156">
        <f t="shared" si="18"/>
        <v>0</v>
      </c>
      <c r="AV18" s="156">
        <f t="shared" si="19"/>
        <v>0</v>
      </c>
      <c r="AW18" s="156">
        <f t="shared" si="20"/>
        <v>0</v>
      </c>
      <c r="AX18" s="156">
        <f t="shared" si="21"/>
        <v>6</v>
      </c>
      <c r="AY18" s="156">
        <f t="shared" si="22"/>
        <v>0</v>
      </c>
      <c r="AZ18" s="156">
        <f>IF(AND(SUM($AQ$16:AQ17)&gt;0,SUM($AZ$16:AZ17)&lt;$P$62,$W18&gt;=$P$65),$P$64,0)</f>
        <v>0</v>
      </c>
      <c r="BA18" s="156">
        <f>IF(SUM($AQ17:$AQ$17)&gt;0,($P$62-SUM($AZ17:$AZ$17))*$F$65,0)</f>
        <v>0</v>
      </c>
      <c r="BB18" s="157">
        <f t="shared" si="23"/>
        <v>6</v>
      </c>
      <c r="BC18" s="153">
        <f t="shared" si="24"/>
        <v>-6</v>
      </c>
      <c r="BD18" s="154">
        <f t="shared" si="25"/>
        <v>-5.6064797824498971</v>
      </c>
      <c r="BE18" s="48"/>
      <c r="BF18" s="46">
        <f t="shared" ref="BF18:BF56" si="43">BF17/(1+$O$22)</f>
        <v>0.93441329707498277</v>
      </c>
      <c r="BH18" s="152">
        <f t="shared" si="26"/>
        <v>0</v>
      </c>
      <c r="BI18" s="152">
        <f t="shared" si="27"/>
        <v>0</v>
      </c>
      <c r="BJ18" s="153">
        <f t="shared" si="28"/>
        <v>0</v>
      </c>
      <c r="BK18" s="153">
        <f t="shared" si="29"/>
        <v>0</v>
      </c>
      <c r="BL18" s="153">
        <f t="shared" si="30"/>
        <v>0</v>
      </c>
      <c r="BM18" s="153">
        <f t="shared" si="31"/>
        <v>0</v>
      </c>
      <c r="BN18" s="154">
        <f t="shared" si="32"/>
        <v>0</v>
      </c>
      <c r="BO18" s="153">
        <f t="shared" si="33"/>
        <v>0</v>
      </c>
      <c r="BP18" s="153">
        <f t="shared" si="34"/>
        <v>0</v>
      </c>
      <c r="BQ18" s="153">
        <f t="shared" si="35"/>
        <v>0</v>
      </c>
      <c r="BR18" s="153">
        <f t="shared" si="36"/>
        <v>0</v>
      </c>
      <c r="BS18" s="220">
        <f t="shared" si="37"/>
        <v>0</v>
      </c>
      <c r="BT18" s="153">
        <f t="shared" si="38"/>
        <v>0</v>
      </c>
      <c r="BU18" s="154">
        <f t="shared" si="39"/>
        <v>0</v>
      </c>
      <c r="BV18" s="154">
        <f t="shared" si="40"/>
        <v>0</v>
      </c>
      <c r="BW18" s="150"/>
      <c r="BX18" s="155">
        <f t="shared" si="41"/>
        <v>0</v>
      </c>
      <c r="BY18" s="272"/>
      <c r="CA18"/>
    </row>
    <row r="19" spans="1:79" ht="15.75" customHeight="1">
      <c r="C19" t="s">
        <v>95</v>
      </c>
      <c r="F19" s="134">
        <f>EOMONTH(F18,12*F16-1)</f>
        <v>46477</v>
      </c>
      <c r="J19" s="113"/>
      <c r="V19" s="57">
        <f t="shared" si="42"/>
        <v>46477</v>
      </c>
      <c r="W19" s="7">
        <v>3</v>
      </c>
      <c r="X19" s="269" t="str">
        <f t="shared" si="0"/>
        <v>整備期間</v>
      </c>
      <c r="Y19" s="158">
        <f t="shared" si="1"/>
        <v>1140</v>
      </c>
      <c r="Z19" s="156">
        <f t="shared" si="2"/>
        <v>384.75</v>
      </c>
      <c r="AA19" s="156">
        <f t="shared" si="3"/>
        <v>1282.5</v>
      </c>
      <c r="AB19" s="156">
        <f t="shared" si="4"/>
        <v>0</v>
      </c>
      <c r="AC19" s="157">
        <f t="shared" si="5"/>
        <v>1524.75</v>
      </c>
      <c r="AD19" s="158">
        <f t="shared" si="6"/>
        <v>2850</v>
      </c>
      <c r="AE19" s="156">
        <f t="shared" si="7"/>
        <v>0</v>
      </c>
      <c r="AF19" s="156">
        <f t="shared" si="8"/>
        <v>10</v>
      </c>
      <c r="AG19" s="156">
        <f>IF(AND(SUM($AA$16:AA18)&gt;0,SUM($AG$16:AG18)&lt;$O$62,$W19&gt;=$O$65),$O$64,0)</f>
        <v>0</v>
      </c>
      <c r="AH19" s="220">
        <f>IF(SUM($AA$17:$AA18)&gt;0,($O$62-SUM($AG$17:$AG18))*$E$65,0)</f>
        <v>0</v>
      </c>
      <c r="AI19" s="157">
        <f t="shared" si="9"/>
        <v>2860</v>
      </c>
      <c r="AJ19" s="153">
        <f t="shared" si="10"/>
        <v>-1335.25</v>
      </c>
      <c r="AK19" s="159"/>
      <c r="AL19" s="160"/>
      <c r="AM19" s="154">
        <f t="shared" si="11"/>
        <v>-1206.0660753208031</v>
      </c>
      <c r="AN19" s="161"/>
      <c r="AO19" s="152">
        <f t="shared" si="12"/>
        <v>1140</v>
      </c>
      <c r="AP19" s="153">
        <f t="shared" si="13"/>
        <v>384.75</v>
      </c>
      <c r="AQ19" s="153">
        <f t="shared" si="14"/>
        <v>1282.5</v>
      </c>
      <c r="AR19" s="156">
        <f t="shared" si="15"/>
        <v>0</v>
      </c>
      <c r="AS19" s="157">
        <f t="shared" si="16"/>
        <v>1524.75</v>
      </c>
      <c r="AT19" s="156">
        <f t="shared" si="17"/>
        <v>2850</v>
      </c>
      <c r="AU19" s="156">
        <f t="shared" si="18"/>
        <v>0</v>
      </c>
      <c r="AV19" s="156">
        <f t="shared" si="19"/>
        <v>0</v>
      </c>
      <c r="AW19" s="156">
        <f t="shared" si="20"/>
        <v>0</v>
      </c>
      <c r="AX19" s="156">
        <f t="shared" si="21"/>
        <v>6</v>
      </c>
      <c r="AY19" s="156">
        <f t="shared" si="22"/>
        <v>0</v>
      </c>
      <c r="AZ19" s="156">
        <f>IF(AND(SUM($AQ$16:AQ18)&gt;0,SUM($AZ$16:AZ18)&lt;$P$62,$W19&gt;=$P$65),$P$64,0)</f>
        <v>0</v>
      </c>
      <c r="BA19" s="156">
        <f>IF(SUM($AQ$17:$AQ18)&gt;0,($P$62-SUM($AZ$17:$AZ18))*$F$65,0)</f>
        <v>0</v>
      </c>
      <c r="BB19" s="157">
        <f t="shared" si="23"/>
        <v>2856</v>
      </c>
      <c r="BC19" s="153">
        <f t="shared" si="24"/>
        <v>-1331.25</v>
      </c>
      <c r="BD19" s="154">
        <f t="shared" si="25"/>
        <v>-1202.4530707888553</v>
      </c>
      <c r="BE19" s="48"/>
      <c r="BF19" s="46">
        <f t="shared" si="43"/>
        <v>0.9032511329869336</v>
      </c>
      <c r="BH19" s="152">
        <f t="shared" si="26"/>
        <v>2850</v>
      </c>
      <c r="BI19" s="152">
        <f t="shared" si="27"/>
        <v>0</v>
      </c>
      <c r="BJ19" s="153">
        <f t="shared" si="28"/>
        <v>0</v>
      </c>
      <c r="BK19" s="153">
        <f t="shared" si="29"/>
        <v>0</v>
      </c>
      <c r="BL19" s="153">
        <f t="shared" si="30"/>
        <v>0</v>
      </c>
      <c r="BM19" s="153">
        <f t="shared" si="31"/>
        <v>0</v>
      </c>
      <c r="BN19" s="154">
        <f t="shared" si="32"/>
        <v>2850</v>
      </c>
      <c r="BO19" s="153">
        <f t="shared" si="33"/>
        <v>2850</v>
      </c>
      <c r="BP19" s="153">
        <f t="shared" si="34"/>
        <v>0</v>
      </c>
      <c r="BQ19" s="153">
        <f t="shared" si="35"/>
        <v>0</v>
      </c>
      <c r="BR19" s="153">
        <f t="shared" si="36"/>
        <v>0</v>
      </c>
      <c r="BS19" s="220">
        <f t="shared" si="37"/>
        <v>0</v>
      </c>
      <c r="BT19" s="153">
        <f t="shared" si="38"/>
        <v>0</v>
      </c>
      <c r="BU19" s="154">
        <f t="shared" si="39"/>
        <v>2850</v>
      </c>
      <c r="BV19" s="154">
        <f t="shared" si="40"/>
        <v>0</v>
      </c>
      <c r="BW19" s="150"/>
      <c r="BX19" s="155">
        <f t="shared" si="41"/>
        <v>0</v>
      </c>
      <c r="BY19" s="272"/>
      <c r="CA19"/>
    </row>
    <row r="20" spans="1:79" ht="15.75" customHeight="1">
      <c r="C20" t="s">
        <v>96</v>
      </c>
      <c r="F20" s="134">
        <f>F19+1</f>
        <v>46478</v>
      </c>
      <c r="V20" s="57">
        <f t="shared" si="42"/>
        <v>46843</v>
      </c>
      <c r="W20" s="7">
        <v>4</v>
      </c>
      <c r="X20" s="269" t="str">
        <f t="shared" si="0"/>
        <v>維持管理・運営期間</v>
      </c>
      <c r="Y20" s="158">
        <f t="shared" si="1"/>
        <v>0</v>
      </c>
      <c r="Z20" s="156">
        <f t="shared" si="2"/>
        <v>0</v>
      </c>
      <c r="AA20" s="156">
        <f t="shared" si="3"/>
        <v>0</v>
      </c>
      <c r="AB20" s="156">
        <f t="shared" si="4"/>
        <v>0</v>
      </c>
      <c r="AC20" s="157">
        <f t="shared" si="5"/>
        <v>0</v>
      </c>
      <c r="AD20" s="158">
        <f t="shared" si="6"/>
        <v>0</v>
      </c>
      <c r="AE20" s="156">
        <f t="shared" si="7"/>
        <v>50</v>
      </c>
      <c r="AF20" s="156">
        <f t="shared" si="8"/>
        <v>10</v>
      </c>
      <c r="AG20" s="156">
        <f>IF(AND(SUM($AA$16:AA19)&gt;0,SUM($AG$16:AG19)&lt;$O$62,$W20&gt;=$O$65),$O$64,0)</f>
        <v>0</v>
      </c>
      <c r="AH20" s="220">
        <f>IF(SUM($AA$17:$AA19)&gt;0,($O$62-SUM($AG$17:$AG19))*$E$65,0)</f>
        <v>19.237500000000001</v>
      </c>
      <c r="AI20" s="157">
        <f t="shared" si="9"/>
        <v>60</v>
      </c>
      <c r="AJ20" s="153">
        <f t="shared" si="10"/>
        <v>-60</v>
      </c>
      <c r="AK20" s="155">
        <f>(SUM($P$31,$P$51)-SUM($AU$17:AU19))*$O$109</f>
        <v>0</v>
      </c>
      <c r="AL20" s="160"/>
      <c r="AM20" s="154">
        <f t="shared" si="11"/>
        <v>-52.387692585032397</v>
      </c>
      <c r="AN20" s="161"/>
      <c r="AO20" s="152">
        <f t="shared" si="12"/>
        <v>0</v>
      </c>
      <c r="AP20" s="153">
        <f t="shared" si="13"/>
        <v>0</v>
      </c>
      <c r="AQ20" s="153">
        <f t="shared" si="14"/>
        <v>0</v>
      </c>
      <c r="AR20" s="156">
        <f t="shared" si="15"/>
        <v>0</v>
      </c>
      <c r="AS20" s="157">
        <f t="shared" si="16"/>
        <v>0</v>
      </c>
      <c r="AT20" s="156">
        <f t="shared" si="17"/>
        <v>0</v>
      </c>
      <c r="AU20" s="156">
        <f t="shared" si="18"/>
        <v>0</v>
      </c>
      <c r="AV20" s="156">
        <f t="shared" si="19"/>
        <v>0</v>
      </c>
      <c r="AW20" s="156">
        <f t="shared" si="20"/>
        <v>47.5</v>
      </c>
      <c r="AX20" s="156">
        <f t="shared" si="21"/>
        <v>6</v>
      </c>
      <c r="AY20" s="156">
        <f t="shared" si="22"/>
        <v>0</v>
      </c>
      <c r="AZ20" s="156">
        <f>IF(AND(SUM($AQ$16:AQ19)&gt;0,SUM($AZ$16:AZ19)&lt;$P$62,$W20&gt;=$P$65),$P$64,0)</f>
        <v>0</v>
      </c>
      <c r="BA20" s="156">
        <f>IF(SUM($AQ$17:$AQ19)&gt;0,($P$62-SUM($AZ$17:$AZ19))*$F$65,0)</f>
        <v>19.237500000000001</v>
      </c>
      <c r="BB20" s="157">
        <f t="shared" si="23"/>
        <v>53.5</v>
      </c>
      <c r="BC20" s="153">
        <f t="shared" si="24"/>
        <v>-53.5</v>
      </c>
      <c r="BD20" s="154">
        <f t="shared" si="25"/>
        <v>-46.712359221653884</v>
      </c>
      <c r="BE20" s="48"/>
      <c r="BF20" s="46">
        <f t="shared" si="43"/>
        <v>0.87312820975053995</v>
      </c>
      <c r="BH20" s="152">
        <f t="shared" si="26"/>
        <v>0</v>
      </c>
      <c r="BI20" s="152">
        <f t="shared" si="27"/>
        <v>0</v>
      </c>
      <c r="BJ20" s="153">
        <f t="shared" si="28"/>
        <v>0</v>
      </c>
      <c r="BK20" s="153">
        <f t="shared" si="29"/>
        <v>47.5</v>
      </c>
      <c r="BL20" s="153">
        <f t="shared" si="30"/>
        <v>0</v>
      </c>
      <c r="BM20" s="153">
        <f t="shared" si="31"/>
        <v>0</v>
      </c>
      <c r="BN20" s="154">
        <f t="shared" si="32"/>
        <v>47.5</v>
      </c>
      <c r="BO20" s="153">
        <f t="shared" si="33"/>
        <v>0</v>
      </c>
      <c r="BP20" s="153">
        <f t="shared" si="34"/>
        <v>47.5</v>
      </c>
      <c r="BQ20" s="153">
        <f t="shared" si="35"/>
        <v>0</v>
      </c>
      <c r="BR20" s="153">
        <f t="shared" si="36"/>
        <v>0</v>
      </c>
      <c r="BS20" s="220">
        <f t="shared" si="37"/>
        <v>0</v>
      </c>
      <c r="BT20" s="153">
        <f t="shared" si="38"/>
        <v>0</v>
      </c>
      <c r="BU20" s="154">
        <f t="shared" si="39"/>
        <v>47.5</v>
      </c>
      <c r="BV20" s="154">
        <f t="shared" si="40"/>
        <v>0</v>
      </c>
      <c r="BW20" s="150"/>
      <c r="BX20" s="155">
        <f t="shared" si="41"/>
        <v>0</v>
      </c>
      <c r="BY20" s="273">
        <f t="shared" ref="BY20:BY56" si="44">IF(BV20-BX20&gt;=0,0,1)</f>
        <v>0</v>
      </c>
      <c r="CA20"/>
    </row>
    <row r="21" spans="1:79" ht="15.75" customHeight="1">
      <c r="C21" t="s">
        <v>97</v>
      </c>
      <c r="F21" s="134">
        <f>EOMONTH(F20,12*F17-1)</f>
        <v>53782</v>
      </c>
      <c r="V21" s="57">
        <f t="shared" si="42"/>
        <v>47208</v>
      </c>
      <c r="W21" s="7">
        <v>5</v>
      </c>
      <c r="X21" s="269" t="str">
        <f t="shared" si="0"/>
        <v>維持管理・運営期間</v>
      </c>
      <c r="Y21" s="158">
        <f t="shared" si="1"/>
        <v>0</v>
      </c>
      <c r="Z21" s="156">
        <f t="shared" si="2"/>
        <v>0</v>
      </c>
      <c r="AA21" s="156">
        <f t="shared" si="3"/>
        <v>0</v>
      </c>
      <c r="AB21" s="156">
        <f t="shared" si="4"/>
        <v>0</v>
      </c>
      <c r="AC21" s="157">
        <f t="shared" si="5"/>
        <v>0</v>
      </c>
      <c r="AD21" s="158">
        <f t="shared" si="6"/>
        <v>0</v>
      </c>
      <c r="AE21" s="156">
        <f t="shared" si="7"/>
        <v>50</v>
      </c>
      <c r="AF21" s="156">
        <f t="shared" si="8"/>
        <v>10</v>
      </c>
      <c r="AG21" s="156">
        <f>IF(AND(SUM($AA$16:AA20)&gt;0,SUM($AG$16:AG20)&lt;$O$62,$W21&gt;=$O$65),$O$64,0)</f>
        <v>0</v>
      </c>
      <c r="AH21" s="220">
        <f>IF(SUM($AA$17:$AA20)&gt;0,($O$62-SUM($AG$17:$AG20))*$E$65,0)</f>
        <v>19.237500000000001</v>
      </c>
      <c r="AI21" s="157">
        <f t="shared" si="9"/>
        <v>60</v>
      </c>
      <c r="AJ21" s="153">
        <f t="shared" si="10"/>
        <v>-60</v>
      </c>
      <c r="AK21" s="155">
        <f>(SUM($P$31,$P$51)-SUM($AU$17:AU20))*$O$109</f>
        <v>0</v>
      </c>
      <c r="AL21" s="160"/>
      <c r="AM21" s="154">
        <f t="shared" si="11"/>
        <v>-50.640592155662056</v>
      </c>
      <c r="AN21" s="161"/>
      <c r="AO21" s="152">
        <f t="shared" si="12"/>
        <v>0</v>
      </c>
      <c r="AP21" s="153">
        <f t="shared" si="13"/>
        <v>0</v>
      </c>
      <c r="AQ21" s="153">
        <f t="shared" si="14"/>
        <v>0</v>
      </c>
      <c r="AR21" s="156">
        <f t="shared" si="15"/>
        <v>0</v>
      </c>
      <c r="AS21" s="157">
        <f t="shared" si="16"/>
        <v>0</v>
      </c>
      <c r="AT21" s="156">
        <f t="shared" si="17"/>
        <v>0</v>
      </c>
      <c r="AU21" s="156">
        <f t="shared" si="18"/>
        <v>0</v>
      </c>
      <c r="AV21" s="156">
        <f t="shared" si="19"/>
        <v>0</v>
      </c>
      <c r="AW21" s="156">
        <f t="shared" si="20"/>
        <v>47.5</v>
      </c>
      <c r="AX21" s="156">
        <f t="shared" si="21"/>
        <v>6</v>
      </c>
      <c r="AY21" s="156">
        <f t="shared" si="22"/>
        <v>0</v>
      </c>
      <c r="AZ21" s="156">
        <f>IF(AND(SUM($AQ$16:AQ20)&gt;0,SUM($AZ$16:AZ20)&lt;$P$62,$W21&gt;=$P$65),$P$64,0)</f>
        <v>0</v>
      </c>
      <c r="BA21" s="156">
        <f>IF(SUM($AQ$17:$AQ20)&gt;0,($P$62-SUM($AZ$17:$AZ20))*$F$65,0)</f>
        <v>19.237500000000001</v>
      </c>
      <c r="BB21" s="157">
        <f t="shared" si="23"/>
        <v>53.5</v>
      </c>
      <c r="BC21" s="153">
        <f t="shared" si="24"/>
        <v>-53.5</v>
      </c>
      <c r="BD21" s="154">
        <f t="shared" si="25"/>
        <v>-45.15452800546533</v>
      </c>
      <c r="BE21" s="48"/>
      <c r="BF21" s="46">
        <f t="shared" si="43"/>
        <v>0.84400986926103427</v>
      </c>
      <c r="BH21" s="152">
        <f t="shared" si="26"/>
        <v>0</v>
      </c>
      <c r="BI21" s="152">
        <f t="shared" si="27"/>
        <v>0</v>
      </c>
      <c r="BJ21" s="153">
        <f t="shared" si="28"/>
        <v>0</v>
      </c>
      <c r="BK21" s="153">
        <f t="shared" si="29"/>
        <v>47.5</v>
      </c>
      <c r="BL21" s="153">
        <f t="shared" si="30"/>
        <v>0</v>
      </c>
      <c r="BM21" s="153">
        <f t="shared" si="31"/>
        <v>0</v>
      </c>
      <c r="BN21" s="154">
        <f t="shared" si="32"/>
        <v>47.5</v>
      </c>
      <c r="BO21" s="153">
        <f t="shared" si="33"/>
        <v>0</v>
      </c>
      <c r="BP21" s="153">
        <f t="shared" si="34"/>
        <v>47.5</v>
      </c>
      <c r="BQ21" s="153">
        <f t="shared" si="35"/>
        <v>0</v>
      </c>
      <c r="BR21" s="153">
        <f t="shared" si="36"/>
        <v>0</v>
      </c>
      <c r="BS21" s="220">
        <f t="shared" si="37"/>
        <v>0</v>
      </c>
      <c r="BT21" s="153">
        <f t="shared" si="38"/>
        <v>0</v>
      </c>
      <c r="BU21" s="154">
        <f t="shared" si="39"/>
        <v>47.5</v>
      </c>
      <c r="BV21" s="154">
        <f t="shared" si="40"/>
        <v>0</v>
      </c>
      <c r="BW21" s="150"/>
      <c r="BX21" s="155">
        <f t="shared" si="41"/>
        <v>0</v>
      </c>
      <c r="BY21" s="273">
        <f t="shared" si="44"/>
        <v>0</v>
      </c>
      <c r="CA21"/>
    </row>
    <row r="22" spans="1:79" ht="15.75" customHeight="1">
      <c r="B22" s="55" t="s">
        <v>98</v>
      </c>
      <c r="C22" s="19"/>
      <c r="I22" s="71"/>
      <c r="J22" s="4" t="s">
        <v>98</v>
      </c>
      <c r="N22" s="19" t="s">
        <v>38</v>
      </c>
      <c r="O22" s="36">
        <f>SUM(F23:F24)</f>
        <v>3.4499999999999996E-2</v>
      </c>
      <c r="V22" s="57">
        <f t="shared" si="42"/>
        <v>47573</v>
      </c>
      <c r="W22" s="7">
        <v>6</v>
      </c>
      <c r="X22" s="269" t="str">
        <f t="shared" si="0"/>
        <v>維持管理・運営期間</v>
      </c>
      <c r="Y22" s="158">
        <f t="shared" si="1"/>
        <v>0</v>
      </c>
      <c r="Z22" s="156">
        <f t="shared" si="2"/>
        <v>0</v>
      </c>
      <c r="AA22" s="156">
        <f t="shared" si="3"/>
        <v>0</v>
      </c>
      <c r="AB22" s="156">
        <f t="shared" si="4"/>
        <v>0</v>
      </c>
      <c r="AC22" s="157">
        <f t="shared" si="5"/>
        <v>0</v>
      </c>
      <c r="AD22" s="158">
        <f t="shared" si="6"/>
        <v>0</v>
      </c>
      <c r="AE22" s="156">
        <f t="shared" si="7"/>
        <v>50</v>
      </c>
      <c r="AF22" s="156">
        <f t="shared" si="8"/>
        <v>10</v>
      </c>
      <c r="AG22" s="156">
        <f>IF(AND(SUM($AA$16:AA21)&gt;0,SUM($AG$16:AG21)&lt;$O$62,$W22&gt;=$O$65),$O$64,0)</f>
        <v>0</v>
      </c>
      <c r="AH22" s="220">
        <f>IF(SUM($AA$17:$AA21)&gt;0,($O$62-SUM($AG$17:$AG21))*$E$65,0)</f>
        <v>19.237500000000001</v>
      </c>
      <c r="AI22" s="157">
        <f t="shared" si="9"/>
        <v>60</v>
      </c>
      <c r="AJ22" s="153">
        <f t="shared" si="10"/>
        <v>-60</v>
      </c>
      <c r="AK22" s="155">
        <f>(SUM($P$31,$P$51)-SUM($AU$17:AU21))*$O$109</f>
        <v>0</v>
      </c>
      <c r="AL22" s="160"/>
      <c r="AM22" s="154">
        <f t="shared" si="11"/>
        <v>-48.951756554530746</v>
      </c>
      <c r="AN22" s="161"/>
      <c r="AO22" s="152">
        <f t="shared" si="12"/>
        <v>0</v>
      </c>
      <c r="AP22" s="153">
        <f t="shared" si="13"/>
        <v>0</v>
      </c>
      <c r="AQ22" s="153">
        <f t="shared" si="14"/>
        <v>0</v>
      </c>
      <c r="AR22" s="156">
        <f t="shared" si="15"/>
        <v>0</v>
      </c>
      <c r="AS22" s="157">
        <f t="shared" si="16"/>
        <v>0</v>
      </c>
      <c r="AT22" s="156">
        <f t="shared" si="17"/>
        <v>0</v>
      </c>
      <c r="AU22" s="156">
        <f t="shared" si="18"/>
        <v>0</v>
      </c>
      <c r="AV22" s="156">
        <f t="shared" si="19"/>
        <v>0</v>
      </c>
      <c r="AW22" s="156">
        <f t="shared" si="20"/>
        <v>47.5</v>
      </c>
      <c r="AX22" s="156">
        <f t="shared" si="21"/>
        <v>6</v>
      </c>
      <c r="AY22" s="156">
        <f t="shared" si="22"/>
        <v>0</v>
      </c>
      <c r="AZ22" s="156">
        <f>IF(AND(SUM($AQ$16:AQ21)&gt;0,SUM($AZ$16:AZ21)&lt;$P$62,$W22&gt;=$P$65),$P$64,0)</f>
        <v>0</v>
      </c>
      <c r="BA22" s="156">
        <f>IF(SUM($AQ$17:$AQ21)&gt;0,($P$62-SUM($AZ$17:$AZ21))*$F$65,0)</f>
        <v>19.237500000000001</v>
      </c>
      <c r="BB22" s="157">
        <f t="shared" si="23"/>
        <v>53.5</v>
      </c>
      <c r="BC22" s="153">
        <f t="shared" si="24"/>
        <v>-53.5</v>
      </c>
      <c r="BD22" s="154">
        <f t="shared" si="25"/>
        <v>-43.648649594456586</v>
      </c>
      <c r="BE22" s="48"/>
      <c r="BF22" s="46">
        <f t="shared" si="43"/>
        <v>0.81586260924217913</v>
      </c>
      <c r="BH22" s="152">
        <f t="shared" si="26"/>
        <v>0</v>
      </c>
      <c r="BI22" s="152">
        <f t="shared" si="27"/>
        <v>0</v>
      </c>
      <c r="BJ22" s="153">
        <f t="shared" si="28"/>
        <v>0</v>
      </c>
      <c r="BK22" s="153">
        <f t="shared" si="29"/>
        <v>47.5</v>
      </c>
      <c r="BL22" s="153">
        <f t="shared" si="30"/>
        <v>0</v>
      </c>
      <c r="BM22" s="153">
        <f t="shared" si="31"/>
        <v>0</v>
      </c>
      <c r="BN22" s="154">
        <f t="shared" si="32"/>
        <v>47.5</v>
      </c>
      <c r="BO22" s="153">
        <f t="shared" si="33"/>
        <v>0</v>
      </c>
      <c r="BP22" s="153">
        <f t="shared" si="34"/>
        <v>47.5</v>
      </c>
      <c r="BQ22" s="153">
        <f t="shared" si="35"/>
        <v>0</v>
      </c>
      <c r="BR22" s="153">
        <f t="shared" si="36"/>
        <v>0</v>
      </c>
      <c r="BS22" s="220">
        <f t="shared" si="37"/>
        <v>0</v>
      </c>
      <c r="BT22" s="153">
        <f t="shared" si="38"/>
        <v>0</v>
      </c>
      <c r="BU22" s="154">
        <f t="shared" si="39"/>
        <v>47.5</v>
      </c>
      <c r="BV22" s="154">
        <f t="shared" si="40"/>
        <v>0</v>
      </c>
      <c r="BW22" s="150"/>
      <c r="BX22" s="155">
        <f t="shared" si="41"/>
        <v>0</v>
      </c>
      <c r="BY22" s="273">
        <f t="shared" si="44"/>
        <v>0</v>
      </c>
      <c r="CA22"/>
    </row>
    <row r="23" spans="1:79" ht="15.75" customHeight="1">
      <c r="C23" t="s">
        <v>99</v>
      </c>
      <c r="F23" s="15">
        <v>1.4500000000000001E-2</v>
      </c>
      <c r="H23" t="s">
        <v>100</v>
      </c>
      <c r="V23" s="57">
        <f t="shared" si="42"/>
        <v>47938</v>
      </c>
      <c r="W23" s="7">
        <v>7</v>
      </c>
      <c r="X23" s="269" t="str">
        <f t="shared" si="0"/>
        <v>維持管理・運営期間</v>
      </c>
      <c r="Y23" s="158">
        <f t="shared" si="1"/>
        <v>0</v>
      </c>
      <c r="Z23" s="156">
        <f t="shared" si="2"/>
        <v>0</v>
      </c>
      <c r="AA23" s="156">
        <f t="shared" si="3"/>
        <v>0</v>
      </c>
      <c r="AB23" s="156">
        <f t="shared" si="4"/>
        <v>0</v>
      </c>
      <c r="AC23" s="157">
        <f t="shared" si="5"/>
        <v>0</v>
      </c>
      <c r="AD23" s="158">
        <f t="shared" si="6"/>
        <v>0</v>
      </c>
      <c r="AE23" s="156">
        <f t="shared" si="7"/>
        <v>50</v>
      </c>
      <c r="AF23" s="156">
        <f t="shared" si="8"/>
        <v>10</v>
      </c>
      <c r="AG23" s="156">
        <f>IF(AND(SUM($AA$16:AA22)&gt;0,SUM($AG$16:AG22)&lt;$O$62,$W23&gt;=$O$65),$O$64,0)</f>
        <v>64.125</v>
      </c>
      <c r="AH23" s="220">
        <f>IF(SUM($AA$17:$AA22)&gt;0,($O$62-SUM($AG$17:$AG22))*$E$65,0)</f>
        <v>19.237500000000001</v>
      </c>
      <c r="AI23" s="157">
        <f t="shared" si="9"/>
        <v>60</v>
      </c>
      <c r="AJ23" s="153">
        <f t="shared" si="10"/>
        <v>-60</v>
      </c>
      <c r="AK23" s="155">
        <f>(SUM($P$31,$P$51)-SUM($AU$17:AU22))*$O$109</f>
        <v>0</v>
      </c>
      <c r="AL23" s="160"/>
      <c r="AM23" s="154">
        <f t="shared" si="11"/>
        <v>-47.319242682001693</v>
      </c>
      <c r="AN23" s="161"/>
      <c r="AO23" s="152">
        <f t="shared" si="12"/>
        <v>0</v>
      </c>
      <c r="AP23" s="153">
        <f t="shared" si="13"/>
        <v>0</v>
      </c>
      <c r="AQ23" s="153">
        <f t="shared" si="14"/>
        <v>0</v>
      </c>
      <c r="AR23" s="156">
        <f t="shared" si="15"/>
        <v>0</v>
      </c>
      <c r="AS23" s="157">
        <f t="shared" si="16"/>
        <v>0</v>
      </c>
      <c r="AT23" s="156">
        <f t="shared" si="17"/>
        <v>0</v>
      </c>
      <c r="AU23" s="156">
        <f t="shared" si="18"/>
        <v>0</v>
      </c>
      <c r="AV23" s="156">
        <f t="shared" si="19"/>
        <v>0</v>
      </c>
      <c r="AW23" s="156">
        <f t="shared" si="20"/>
        <v>47.5</v>
      </c>
      <c r="AX23" s="156">
        <f t="shared" si="21"/>
        <v>6</v>
      </c>
      <c r="AY23" s="156">
        <f t="shared" si="22"/>
        <v>0</v>
      </c>
      <c r="AZ23" s="156">
        <f>IF(AND(SUM($AQ$16:AQ22)&gt;0,SUM($AZ$16:AZ22)&lt;$P$62,$W23&gt;=$P$65),$P$64,0)</f>
        <v>64.125</v>
      </c>
      <c r="BA23" s="156">
        <f>IF(SUM($AQ$17:$AQ22)&gt;0,($P$62-SUM($AZ$17:$AZ22))*$F$65,0)</f>
        <v>19.237500000000001</v>
      </c>
      <c r="BB23" s="157">
        <f t="shared" si="23"/>
        <v>53.5</v>
      </c>
      <c r="BC23" s="153">
        <f t="shared" si="24"/>
        <v>-53.5</v>
      </c>
      <c r="BD23" s="154">
        <f t="shared" si="25"/>
        <v>-42.192991391451507</v>
      </c>
      <c r="BE23" s="48"/>
      <c r="BF23" s="46">
        <f t="shared" si="43"/>
        <v>0.7886540447000282</v>
      </c>
      <c r="BH23" s="152">
        <f t="shared" si="26"/>
        <v>0</v>
      </c>
      <c r="BI23" s="152">
        <f t="shared" si="27"/>
        <v>0</v>
      </c>
      <c r="BJ23" s="153">
        <f t="shared" si="28"/>
        <v>0</v>
      </c>
      <c r="BK23" s="153">
        <f t="shared" si="29"/>
        <v>47.5</v>
      </c>
      <c r="BL23" s="153">
        <f t="shared" si="30"/>
        <v>0</v>
      </c>
      <c r="BM23" s="153">
        <f t="shared" si="31"/>
        <v>0</v>
      </c>
      <c r="BN23" s="154">
        <f t="shared" si="32"/>
        <v>47.5</v>
      </c>
      <c r="BO23" s="153">
        <f t="shared" si="33"/>
        <v>0</v>
      </c>
      <c r="BP23" s="153">
        <f t="shared" si="34"/>
        <v>47.5</v>
      </c>
      <c r="BQ23" s="153">
        <f t="shared" si="35"/>
        <v>0</v>
      </c>
      <c r="BR23" s="153">
        <f t="shared" si="36"/>
        <v>0</v>
      </c>
      <c r="BS23" s="220">
        <f t="shared" si="37"/>
        <v>0</v>
      </c>
      <c r="BT23" s="153">
        <f t="shared" si="38"/>
        <v>0</v>
      </c>
      <c r="BU23" s="154">
        <f t="shared" si="39"/>
        <v>47.5</v>
      </c>
      <c r="BV23" s="154">
        <f t="shared" si="40"/>
        <v>0</v>
      </c>
      <c r="BW23" s="150"/>
      <c r="BX23" s="155">
        <f t="shared" si="41"/>
        <v>0</v>
      </c>
      <c r="BY23" s="273">
        <f t="shared" si="44"/>
        <v>0</v>
      </c>
      <c r="CA23"/>
    </row>
    <row r="24" spans="1:79" ht="15.75" customHeight="1">
      <c r="C24" t="s">
        <v>5</v>
      </c>
      <c r="F24" s="193">
        <f>事業費用概算!J34</f>
        <v>1.9999999999999997E-2</v>
      </c>
      <c r="V24" s="57">
        <f t="shared" si="42"/>
        <v>48304</v>
      </c>
      <c r="W24" s="7">
        <v>8</v>
      </c>
      <c r="X24" s="269" t="str">
        <f t="shared" si="0"/>
        <v>維持管理・運営期間</v>
      </c>
      <c r="Y24" s="158">
        <f t="shared" si="1"/>
        <v>0</v>
      </c>
      <c r="Z24" s="156">
        <f t="shared" si="2"/>
        <v>0</v>
      </c>
      <c r="AA24" s="156">
        <f t="shared" si="3"/>
        <v>0</v>
      </c>
      <c r="AB24" s="156">
        <f t="shared" si="4"/>
        <v>0</v>
      </c>
      <c r="AC24" s="157">
        <f t="shared" si="5"/>
        <v>0</v>
      </c>
      <c r="AD24" s="158">
        <f t="shared" si="6"/>
        <v>0</v>
      </c>
      <c r="AE24" s="156">
        <f t="shared" si="7"/>
        <v>50</v>
      </c>
      <c r="AF24" s="156">
        <f t="shared" si="8"/>
        <v>10</v>
      </c>
      <c r="AG24" s="156">
        <f>IF(AND(SUM($AA$16:AA23)&gt;0,SUM($AG$16:AG23)&lt;$O$62,$W24&gt;=$O$65),$O$64,0)</f>
        <v>64.125</v>
      </c>
      <c r="AH24" s="220">
        <f>IF(SUM($AA$17:$AA23)&gt;0,($O$62-SUM($AG$17:$AG23))*$E$65,0)</f>
        <v>18.275624999999998</v>
      </c>
      <c r="AI24" s="157">
        <f t="shared" si="9"/>
        <v>60</v>
      </c>
      <c r="AJ24" s="153">
        <f t="shared" si="10"/>
        <v>-60</v>
      </c>
      <c r="AK24" s="155">
        <f>(SUM($P$31,$P$51)-SUM($AU$17:AU23))*$O$109</f>
        <v>0</v>
      </c>
      <c r="AL24" s="160"/>
      <c r="AM24" s="154">
        <f t="shared" si="11"/>
        <v>-45.741172239730979</v>
      </c>
      <c r="AN24" s="161"/>
      <c r="AO24" s="152">
        <f t="shared" si="12"/>
        <v>0</v>
      </c>
      <c r="AP24" s="153">
        <f t="shared" si="13"/>
        <v>0</v>
      </c>
      <c r="AQ24" s="153">
        <f t="shared" si="14"/>
        <v>0</v>
      </c>
      <c r="AR24" s="156">
        <f t="shared" si="15"/>
        <v>0</v>
      </c>
      <c r="AS24" s="157">
        <f t="shared" si="16"/>
        <v>0</v>
      </c>
      <c r="AT24" s="156">
        <f t="shared" si="17"/>
        <v>0</v>
      </c>
      <c r="AU24" s="156">
        <f t="shared" si="18"/>
        <v>0</v>
      </c>
      <c r="AV24" s="156">
        <f t="shared" si="19"/>
        <v>0</v>
      </c>
      <c r="AW24" s="156">
        <f t="shared" si="20"/>
        <v>47.5</v>
      </c>
      <c r="AX24" s="156">
        <f t="shared" si="21"/>
        <v>6</v>
      </c>
      <c r="AY24" s="156">
        <f t="shared" si="22"/>
        <v>0</v>
      </c>
      <c r="AZ24" s="156">
        <f>IF(AND(SUM($AQ$16:AQ23)&gt;0,SUM($AZ$16:AZ23)&lt;$P$62,$W24&gt;=$P$65),$P$64,0)</f>
        <v>64.125</v>
      </c>
      <c r="BA24" s="156">
        <f>IF(SUM($AQ$17:$AQ23)&gt;0,($P$62-SUM($AZ$17:$AZ23))*$F$65,0)</f>
        <v>18.275624999999998</v>
      </c>
      <c r="BB24" s="157">
        <f t="shared" si="23"/>
        <v>53.5</v>
      </c>
      <c r="BC24" s="153">
        <f t="shared" si="24"/>
        <v>-53.5</v>
      </c>
      <c r="BD24" s="154">
        <f t="shared" si="25"/>
        <v>-40.78587858042679</v>
      </c>
      <c r="BE24" s="48"/>
      <c r="BF24" s="46">
        <f t="shared" si="43"/>
        <v>0.76235287066218294</v>
      </c>
      <c r="BH24" s="152">
        <f t="shared" si="26"/>
        <v>0</v>
      </c>
      <c r="BI24" s="152">
        <f t="shared" si="27"/>
        <v>0</v>
      </c>
      <c r="BJ24" s="153">
        <f t="shared" si="28"/>
        <v>0</v>
      </c>
      <c r="BK24" s="153">
        <f t="shared" si="29"/>
        <v>47.5</v>
      </c>
      <c r="BL24" s="153">
        <f t="shared" si="30"/>
        <v>0</v>
      </c>
      <c r="BM24" s="153">
        <f t="shared" si="31"/>
        <v>0</v>
      </c>
      <c r="BN24" s="154">
        <f t="shared" si="32"/>
        <v>47.5</v>
      </c>
      <c r="BO24" s="153">
        <f t="shared" si="33"/>
        <v>0</v>
      </c>
      <c r="BP24" s="153">
        <f t="shared" si="34"/>
        <v>47.5</v>
      </c>
      <c r="BQ24" s="153">
        <f t="shared" si="35"/>
        <v>0</v>
      </c>
      <c r="BR24" s="153">
        <f t="shared" si="36"/>
        <v>0</v>
      </c>
      <c r="BS24" s="220">
        <f t="shared" si="37"/>
        <v>0</v>
      </c>
      <c r="BT24" s="153">
        <f t="shared" si="38"/>
        <v>0</v>
      </c>
      <c r="BU24" s="154">
        <f t="shared" si="39"/>
        <v>47.5</v>
      </c>
      <c r="BV24" s="154">
        <f t="shared" si="40"/>
        <v>0</v>
      </c>
      <c r="BW24" s="150"/>
      <c r="BX24" s="155">
        <f t="shared" si="41"/>
        <v>0</v>
      </c>
      <c r="BY24" s="273">
        <f t="shared" si="44"/>
        <v>0</v>
      </c>
      <c r="CA24"/>
    </row>
    <row r="25" spans="1:79" ht="15.75" customHeight="1">
      <c r="V25" s="57">
        <f t="shared" si="42"/>
        <v>48669</v>
      </c>
      <c r="W25" s="7">
        <v>9</v>
      </c>
      <c r="X25" s="269" t="str">
        <f t="shared" si="0"/>
        <v>維持管理・運営期間</v>
      </c>
      <c r="Y25" s="158">
        <f t="shared" si="1"/>
        <v>0</v>
      </c>
      <c r="Z25" s="156">
        <f t="shared" si="2"/>
        <v>0</v>
      </c>
      <c r="AA25" s="156">
        <f t="shared" si="3"/>
        <v>0</v>
      </c>
      <c r="AB25" s="156">
        <f t="shared" si="4"/>
        <v>0</v>
      </c>
      <c r="AC25" s="157">
        <f t="shared" si="5"/>
        <v>0</v>
      </c>
      <c r="AD25" s="158">
        <f t="shared" si="6"/>
        <v>0</v>
      </c>
      <c r="AE25" s="156">
        <f t="shared" si="7"/>
        <v>50</v>
      </c>
      <c r="AF25" s="156">
        <f t="shared" si="8"/>
        <v>10</v>
      </c>
      <c r="AG25" s="156">
        <f>IF(AND(SUM($AA$16:AA24)&gt;0,SUM($AG$16:AG24)&lt;$O$62,$W25&gt;=$O$65),$O$64,0)</f>
        <v>64.125</v>
      </c>
      <c r="AH25" s="220">
        <f>IF(SUM($AA$17:$AA24)&gt;0,($O$62-SUM($AG$17:$AG24))*$E$65,0)</f>
        <v>17.313749999999999</v>
      </c>
      <c r="AI25" s="157">
        <f t="shared" si="9"/>
        <v>60</v>
      </c>
      <c r="AJ25" s="153">
        <f t="shared" si="10"/>
        <v>-60</v>
      </c>
      <c r="AK25" s="155">
        <f>(SUM($P$31,$P$51)-SUM($AU$17:AU24))*$O$109</f>
        <v>0</v>
      </c>
      <c r="AL25" s="160"/>
      <c r="AM25" s="154">
        <f t="shared" si="11"/>
        <v>-44.215729569580446</v>
      </c>
      <c r="AN25" s="161"/>
      <c r="AO25" s="152">
        <f t="shared" si="12"/>
        <v>0</v>
      </c>
      <c r="AP25" s="153">
        <f t="shared" si="13"/>
        <v>0</v>
      </c>
      <c r="AQ25" s="153">
        <f t="shared" si="14"/>
        <v>0</v>
      </c>
      <c r="AR25" s="156">
        <f t="shared" si="15"/>
        <v>0</v>
      </c>
      <c r="AS25" s="157">
        <f t="shared" si="16"/>
        <v>0</v>
      </c>
      <c r="AT25" s="156">
        <f t="shared" si="17"/>
        <v>0</v>
      </c>
      <c r="AU25" s="156">
        <f t="shared" si="18"/>
        <v>0</v>
      </c>
      <c r="AV25" s="156">
        <f t="shared" si="19"/>
        <v>0</v>
      </c>
      <c r="AW25" s="156">
        <f t="shared" si="20"/>
        <v>47.5</v>
      </c>
      <c r="AX25" s="156">
        <f t="shared" si="21"/>
        <v>6</v>
      </c>
      <c r="AY25" s="156">
        <f t="shared" si="22"/>
        <v>0</v>
      </c>
      <c r="AZ25" s="156">
        <f>IF(AND(SUM($AQ$16:AQ24)&gt;0,SUM($AZ$16:AZ24)&lt;$P$62,$W25&gt;=$P$65),$P$64,0)</f>
        <v>64.125</v>
      </c>
      <c r="BA25" s="156">
        <f>IF(SUM($AQ$17:$AQ24)&gt;0,($P$62-SUM($AZ$17:$AZ24))*$F$65,0)</f>
        <v>17.313749999999999</v>
      </c>
      <c r="BB25" s="157">
        <f t="shared" si="23"/>
        <v>53.5</v>
      </c>
      <c r="BC25" s="153">
        <f t="shared" si="24"/>
        <v>-53.5</v>
      </c>
      <c r="BD25" s="154">
        <f t="shared" si="25"/>
        <v>-39.425692199542567</v>
      </c>
      <c r="BE25" s="48"/>
      <c r="BF25" s="46">
        <f t="shared" si="43"/>
        <v>0.73692882615967414</v>
      </c>
      <c r="BH25" s="152">
        <f t="shared" si="26"/>
        <v>0</v>
      </c>
      <c r="BI25" s="152">
        <f t="shared" si="27"/>
        <v>0</v>
      </c>
      <c r="BJ25" s="153">
        <f t="shared" si="28"/>
        <v>0</v>
      </c>
      <c r="BK25" s="153">
        <f t="shared" si="29"/>
        <v>47.5</v>
      </c>
      <c r="BL25" s="153">
        <f t="shared" si="30"/>
        <v>0</v>
      </c>
      <c r="BM25" s="153">
        <f t="shared" si="31"/>
        <v>0</v>
      </c>
      <c r="BN25" s="154">
        <f t="shared" si="32"/>
        <v>47.5</v>
      </c>
      <c r="BO25" s="153">
        <f t="shared" si="33"/>
        <v>0</v>
      </c>
      <c r="BP25" s="153">
        <f t="shared" si="34"/>
        <v>47.5</v>
      </c>
      <c r="BQ25" s="153">
        <f t="shared" si="35"/>
        <v>0</v>
      </c>
      <c r="BR25" s="153">
        <f t="shared" si="36"/>
        <v>0</v>
      </c>
      <c r="BS25" s="220">
        <f t="shared" si="37"/>
        <v>0</v>
      </c>
      <c r="BT25" s="153">
        <f t="shared" si="38"/>
        <v>0</v>
      </c>
      <c r="BU25" s="154">
        <f t="shared" si="39"/>
        <v>47.5</v>
      </c>
      <c r="BV25" s="154">
        <f t="shared" si="40"/>
        <v>0</v>
      </c>
      <c r="BW25" s="150"/>
      <c r="BX25" s="155">
        <f t="shared" si="41"/>
        <v>0</v>
      </c>
      <c r="BY25" s="273">
        <f t="shared" si="44"/>
        <v>0</v>
      </c>
      <c r="CA25"/>
    </row>
    <row r="26" spans="1:79" ht="13.5" customHeight="1">
      <c r="V26" s="57">
        <f t="shared" si="42"/>
        <v>49034</v>
      </c>
      <c r="W26" s="7">
        <v>10</v>
      </c>
      <c r="X26" s="269" t="str">
        <f t="shared" si="0"/>
        <v>維持管理・運営期間</v>
      </c>
      <c r="Y26" s="158">
        <f t="shared" si="1"/>
        <v>0</v>
      </c>
      <c r="Z26" s="156">
        <f t="shared" si="2"/>
        <v>0</v>
      </c>
      <c r="AA26" s="156">
        <f t="shared" si="3"/>
        <v>0</v>
      </c>
      <c r="AB26" s="156">
        <f t="shared" si="4"/>
        <v>0</v>
      </c>
      <c r="AC26" s="157">
        <f t="shared" si="5"/>
        <v>0</v>
      </c>
      <c r="AD26" s="158">
        <f t="shared" si="6"/>
        <v>0</v>
      </c>
      <c r="AE26" s="156">
        <f t="shared" si="7"/>
        <v>50</v>
      </c>
      <c r="AF26" s="156">
        <f t="shared" si="8"/>
        <v>10</v>
      </c>
      <c r="AG26" s="156">
        <f>IF(AND(SUM($AA$16:AA25)&gt;0,SUM($AG$16:AG25)&lt;$O$62,$W26&gt;=$O$65),$O$64,0)</f>
        <v>64.125</v>
      </c>
      <c r="AH26" s="220">
        <f>IF(SUM($AA$17:$AA25)&gt;0,($O$62-SUM($AG$17:$AG25))*$E$65,0)</f>
        <v>16.351875</v>
      </c>
      <c r="AI26" s="157">
        <f t="shared" si="9"/>
        <v>60</v>
      </c>
      <c r="AJ26" s="153">
        <f t="shared" si="10"/>
        <v>-60</v>
      </c>
      <c r="AK26" s="155">
        <f>(SUM($P$31,$P$51)-SUM($AU$17:AU25))*$O$109</f>
        <v>0</v>
      </c>
      <c r="AL26" s="160"/>
      <c r="AM26" s="154">
        <f t="shared" si="11"/>
        <v>-42.741159564601695</v>
      </c>
      <c r="AN26" s="161"/>
      <c r="AO26" s="152">
        <f t="shared" si="12"/>
        <v>0</v>
      </c>
      <c r="AP26" s="153">
        <f t="shared" si="13"/>
        <v>0</v>
      </c>
      <c r="AQ26" s="153">
        <f t="shared" si="14"/>
        <v>0</v>
      </c>
      <c r="AR26" s="156">
        <f t="shared" si="15"/>
        <v>0</v>
      </c>
      <c r="AS26" s="157">
        <f t="shared" si="16"/>
        <v>0</v>
      </c>
      <c r="AT26" s="156">
        <f t="shared" si="17"/>
        <v>0</v>
      </c>
      <c r="AU26" s="156">
        <f t="shared" si="18"/>
        <v>0</v>
      </c>
      <c r="AV26" s="156">
        <f t="shared" si="19"/>
        <v>0</v>
      </c>
      <c r="AW26" s="156">
        <f t="shared" si="20"/>
        <v>47.5</v>
      </c>
      <c r="AX26" s="156">
        <f t="shared" si="21"/>
        <v>6</v>
      </c>
      <c r="AY26" s="156">
        <f t="shared" si="22"/>
        <v>0</v>
      </c>
      <c r="AZ26" s="156">
        <f>IF(AND(SUM($AQ$16:AQ25)&gt;0,SUM($AZ$16:AZ25)&lt;$P$62,$W26&gt;=$P$65),$P$64,0)</f>
        <v>64.125</v>
      </c>
      <c r="BA26" s="156">
        <f>IF(SUM($AQ$17:$AQ25)&gt;0,($P$62-SUM($AZ$17:$AZ25))*$F$65,0)</f>
        <v>16.351875</v>
      </c>
      <c r="BB26" s="157">
        <f t="shared" si="23"/>
        <v>53.5</v>
      </c>
      <c r="BC26" s="153">
        <f t="shared" si="24"/>
        <v>-53.5</v>
      </c>
      <c r="BD26" s="154">
        <f t="shared" si="25"/>
        <v>-38.110867278436508</v>
      </c>
      <c r="BE26" s="48"/>
      <c r="BF26" s="46">
        <f t="shared" si="43"/>
        <v>0.71235265941002823</v>
      </c>
      <c r="BH26" s="152">
        <f t="shared" si="26"/>
        <v>0</v>
      </c>
      <c r="BI26" s="152">
        <f t="shared" si="27"/>
        <v>0</v>
      </c>
      <c r="BJ26" s="153">
        <f t="shared" si="28"/>
        <v>0</v>
      </c>
      <c r="BK26" s="153">
        <f t="shared" si="29"/>
        <v>47.5</v>
      </c>
      <c r="BL26" s="153">
        <f t="shared" si="30"/>
        <v>0</v>
      </c>
      <c r="BM26" s="153">
        <f t="shared" si="31"/>
        <v>0</v>
      </c>
      <c r="BN26" s="154">
        <f t="shared" si="32"/>
        <v>47.5</v>
      </c>
      <c r="BO26" s="153">
        <f t="shared" si="33"/>
        <v>0</v>
      </c>
      <c r="BP26" s="153">
        <f t="shared" si="34"/>
        <v>47.5</v>
      </c>
      <c r="BQ26" s="153">
        <f t="shared" si="35"/>
        <v>0</v>
      </c>
      <c r="BR26" s="153">
        <f t="shared" si="36"/>
        <v>0</v>
      </c>
      <c r="BS26" s="220">
        <f t="shared" si="37"/>
        <v>0</v>
      </c>
      <c r="BT26" s="153">
        <f t="shared" si="38"/>
        <v>0</v>
      </c>
      <c r="BU26" s="154">
        <f t="shared" si="39"/>
        <v>47.5</v>
      </c>
      <c r="BV26" s="154">
        <f t="shared" si="40"/>
        <v>0</v>
      </c>
      <c r="BW26" s="150"/>
      <c r="BX26" s="155">
        <f t="shared" si="41"/>
        <v>0</v>
      </c>
      <c r="BY26" s="273">
        <f t="shared" si="44"/>
        <v>0</v>
      </c>
      <c r="CA26"/>
    </row>
    <row r="27" spans="1:79" ht="15.75" customHeight="1">
      <c r="A27" s="4" t="s">
        <v>101</v>
      </c>
      <c r="H27" s="71"/>
      <c r="I27" s="71"/>
      <c r="J27" s="4" t="s">
        <v>102</v>
      </c>
      <c r="V27" s="57">
        <f t="shared" si="42"/>
        <v>49399</v>
      </c>
      <c r="W27" s="7">
        <v>11</v>
      </c>
      <c r="X27" s="269" t="str">
        <f t="shared" si="0"/>
        <v>維持管理・運営期間</v>
      </c>
      <c r="Y27" s="158">
        <f t="shared" si="1"/>
        <v>0</v>
      </c>
      <c r="Z27" s="156">
        <f t="shared" si="2"/>
        <v>0</v>
      </c>
      <c r="AA27" s="156">
        <f t="shared" si="3"/>
        <v>0</v>
      </c>
      <c r="AB27" s="156">
        <f t="shared" si="4"/>
        <v>0</v>
      </c>
      <c r="AC27" s="157">
        <f t="shared" si="5"/>
        <v>0</v>
      </c>
      <c r="AD27" s="158">
        <f t="shared" si="6"/>
        <v>0</v>
      </c>
      <c r="AE27" s="156">
        <f t="shared" si="7"/>
        <v>50</v>
      </c>
      <c r="AF27" s="156">
        <f t="shared" si="8"/>
        <v>10</v>
      </c>
      <c r="AG27" s="156">
        <f>IF(AND(SUM($AA$16:AA26)&gt;0,SUM($AG$16:AG26)&lt;$O$62,$W27&gt;=$O$65),$O$64,0)</f>
        <v>64.125</v>
      </c>
      <c r="AH27" s="220">
        <f>IF(SUM($AA$17:$AA26)&gt;0,($O$62-SUM($AG$17:$AG26))*$E$65,0)</f>
        <v>15.389999999999999</v>
      </c>
      <c r="AI27" s="157">
        <f t="shared" si="9"/>
        <v>60</v>
      </c>
      <c r="AJ27" s="153">
        <f t="shared" si="10"/>
        <v>-60</v>
      </c>
      <c r="AK27" s="155">
        <f>(SUM($P$31,$P$51)-SUM($AU$17:AU26))*$O$109</f>
        <v>0</v>
      </c>
      <c r="AL27" s="160"/>
      <c r="AM27" s="154">
        <f t="shared" si="11"/>
        <v>-41.315765649687478</v>
      </c>
      <c r="AN27" s="161"/>
      <c r="AO27" s="152">
        <f t="shared" si="12"/>
        <v>0</v>
      </c>
      <c r="AP27" s="153">
        <f t="shared" si="13"/>
        <v>0</v>
      </c>
      <c r="AQ27" s="153">
        <f t="shared" si="14"/>
        <v>0</v>
      </c>
      <c r="AR27" s="156">
        <f t="shared" si="15"/>
        <v>0</v>
      </c>
      <c r="AS27" s="157">
        <f t="shared" si="16"/>
        <v>0</v>
      </c>
      <c r="AT27" s="156">
        <f t="shared" si="17"/>
        <v>0</v>
      </c>
      <c r="AU27" s="156">
        <f t="shared" si="18"/>
        <v>0</v>
      </c>
      <c r="AV27" s="156">
        <f t="shared" si="19"/>
        <v>0</v>
      </c>
      <c r="AW27" s="156">
        <f t="shared" si="20"/>
        <v>47.5</v>
      </c>
      <c r="AX27" s="156">
        <f t="shared" si="21"/>
        <v>6</v>
      </c>
      <c r="AY27" s="156">
        <f t="shared" si="22"/>
        <v>0</v>
      </c>
      <c r="AZ27" s="156">
        <f>IF(AND(SUM($AQ$16:AQ26)&gt;0,SUM($AZ$16:AZ26)&lt;$P$62,$W27&gt;=$P$65),$P$64,0)</f>
        <v>64.125</v>
      </c>
      <c r="BA27" s="156">
        <f>IF(SUM($AQ$17:$AQ26)&gt;0,($P$62-SUM($AZ$17:$AZ26))*$F$65,0)</f>
        <v>15.389999999999999</v>
      </c>
      <c r="BB27" s="157">
        <f t="shared" si="23"/>
        <v>53.5</v>
      </c>
      <c r="BC27" s="153">
        <f t="shared" si="24"/>
        <v>-53.5</v>
      </c>
      <c r="BD27" s="154">
        <f t="shared" si="25"/>
        <v>-36.839891037637997</v>
      </c>
      <c r="BE27" s="48"/>
      <c r="BF27" s="46">
        <f t="shared" si="43"/>
        <v>0.68859609416145795</v>
      </c>
      <c r="BH27" s="152">
        <f t="shared" si="26"/>
        <v>0</v>
      </c>
      <c r="BI27" s="152">
        <f t="shared" si="27"/>
        <v>0</v>
      </c>
      <c r="BJ27" s="153">
        <f t="shared" si="28"/>
        <v>0</v>
      </c>
      <c r="BK27" s="153">
        <f t="shared" si="29"/>
        <v>47.5</v>
      </c>
      <c r="BL27" s="153">
        <f t="shared" si="30"/>
        <v>0</v>
      </c>
      <c r="BM27" s="153">
        <f t="shared" si="31"/>
        <v>0</v>
      </c>
      <c r="BN27" s="154">
        <f t="shared" si="32"/>
        <v>47.5</v>
      </c>
      <c r="BO27" s="153">
        <f t="shared" si="33"/>
        <v>0</v>
      </c>
      <c r="BP27" s="153">
        <f t="shared" si="34"/>
        <v>47.5</v>
      </c>
      <c r="BQ27" s="153">
        <f t="shared" si="35"/>
        <v>0</v>
      </c>
      <c r="BR27" s="153">
        <f t="shared" si="36"/>
        <v>0</v>
      </c>
      <c r="BS27" s="220">
        <f t="shared" si="37"/>
        <v>0</v>
      </c>
      <c r="BT27" s="153">
        <f t="shared" si="38"/>
        <v>0</v>
      </c>
      <c r="BU27" s="154">
        <f t="shared" si="39"/>
        <v>47.5</v>
      </c>
      <c r="BV27" s="154">
        <f t="shared" si="40"/>
        <v>0</v>
      </c>
      <c r="BW27" s="150"/>
      <c r="BX27" s="155">
        <f t="shared" si="41"/>
        <v>0</v>
      </c>
      <c r="BY27" s="273">
        <f t="shared" si="44"/>
        <v>0</v>
      </c>
      <c r="CA27"/>
    </row>
    <row r="28" spans="1:79" ht="15.75" customHeight="1">
      <c r="B28" t="s">
        <v>103</v>
      </c>
      <c r="D28" t="s">
        <v>7</v>
      </c>
      <c r="F28" s="276">
        <f>SUM(F29:F30)</f>
        <v>3000</v>
      </c>
      <c r="J28" s="4" t="s">
        <v>104</v>
      </c>
      <c r="O28" t="s">
        <v>2</v>
      </c>
      <c r="P28" t="s">
        <v>50</v>
      </c>
      <c r="V28" s="57">
        <f t="shared" si="42"/>
        <v>49765</v>
      </c>
      <c r="W28" s="7">
        <v>12</v>
      </c>
      <c r="X28" s="269" t="str">
        <f t="shared" si="0"/>
        <v>維持管理・運営期間</v>
      </c>
      <c r="Y28" s="158">
        <f t="shared" si="1"/>
        <v>0</v>
      </c>
      <c r="Z28" s="156">
        <f t="shared" si="2"/>
        <v>0</v>
      </c>
      <c r="AA28" s="156">
        <f t="shared" si="3"/>
        <v>0</v>
      </c>
      <c r="AB28" s="156">
        <f t="shared" si="4"/>
        <v>0</v>
      </c>
      <c r="AC28" s="157">
        <f t="shared" si="5"/>
        <v>0</v>
      </c>
      <c r="AD28" s="158">
        <f t="shared" si="6"/>
        <v>0</v>
      </c>
      <c r="AE28" s="156">
        <f t="shared" si="7"/>
        <v>50</v>
      </c>
      <c r="AF28" s="156">
        <f t="shared" si="8"/>
        <v>10</v>
      </c>
      <c r="AG28" s="156">
        <f>IF(AND(SUM($AA$16:AA27)&gt;0,SUM($AG$16:AG27)&lt;$O$62,$W28&gt;=$O$65),$O$64,0)</f>
        <v>64.125</v>
      </c>
      <c r="AH28" s="220">
        <f>IF(SUM($AA$17:$AA27)&gt;0,($O$62-SUM($AG$17:$AG27))*$E$65,0)</f>
        <v>14.428125</v>
      </c>
      <c r="AI28" s="157">
        <f t="shared" si="9"/>
        <v>60</v>
      </c>
      <c r="AJ28" s="153">
        <f t="shared" si="10"/>
        <v>-60</v>
      </c>
      <c r="AK28" s="155">
        <f>(SUM($P$31,$P$51)-SUM($AU$17:AU27))*$O$109</f>
        <v>0</v>
      </c>
      <c r="AL28" s="160"/>
      <c r="AM28" s="154">
        <f t="shared" si="11"/>
        <v>-39.937907829567408</v>
      </c>
      <c r="AN28" s="161"/>
      <c r="AO28" s="152">
        <f t="shared" si="12"/>
        <v>0</v>
      </c>
      <c r="AP28" s="153">
        <f t="shared" si="13"/>
        <v>0</v>
      </c>
      <c r="AQ28" s="153">
        <f t="shared" si="14"/>
        <v>0</v>
      </c>
      <c r="AR28" s="156">
        <f t="shared" si="15"/>
        <v>0</v>
      </c>
      <c r="AS28" s="157">
        <f t="shared" si="16"/>
        <v>0</v>
      </c>
      <c r="AT28" s="156">
        <f t="shared" si="17"/>
        <v>0</v>
      </c>
      <c r="AU28" s="156">
        <f t="shared" si="18"/>
        <v>0</v>
      </c>
      <c r="AV28" s="156">
        <f t="shared" si="19"/>
        <v>0</v>
      </c>
      <c r="AW28" s="156">
        <f t="shared" si="20"/>
        <v>47.5</v>
      </c>
      <c r="AX28" s="156">
        <f t="shared" si="21"/>
        <v>6</v>
      </c>
      <c r="AY28" s="156">
        <f t="shared" si="22"/>
        <v>0</v>
      </c>
      <c r="AZ28" s="156">
        <f>IF(AND(SUM($AQ$16:AQ27)&gt;0,SUM($AZ$16:AZ27)&lt;$P$62,$W28&gt;=$P$65),$P$64,0)</f>
        <v>64.125</v>
      </c>
      <c r="BA28" s="156">
        <f>IF(SUM($AQ$17:$AQ27)&gt;0,($P$62-SUM($AZ$17:$AZ27))*$F$65,0)</f>
        <v>14.428125</v>
      </c>
      <c r="BB28" s="157">
        <f t="shared" si="23"/>
        <v>53.5</v>
      </c>
      <c r="BC28" s="153">
        <f t="shared" si="24"/>
        <v>-53.5</v>
      </c>
      <c r="BD28" s="154">
        <f t="shared" si="25"/>
        <v>-35.61130114803094</v>
      </c>
      <c r="BE28" s="48"/>
      <c r="BF28" s="46">
        <f t="shared" si="43"/>
        <v>0.66563179715945675</v>
      </c>
      <c r="BH28" s="152">
        <f t="shared" si="26"/>
        <v>0</v>
      </c>
      <c r="BI28" s="152">
        <f t="shared" si="27"/>
        <v>0</v>
      </c>
      <c r="BJ28" s="153">
        <f t="shared" si="28"/>
        <v>0</v>
      </c>
      <c r="BK28" s="153">
        <f t="shared" si="29"/>
        <v>47.5</v>
      </c>
      <c r="BL28" s="153">
        <f t="shared" si="30"/>
        <v>0</v>
      </c>
      <c r="BM28" s="153">
        <f t="shared" si="31"/>
        <v>0</v>
      </c>
      <c r="BN28" s="154">
        <f t="shared" si="32"/>
        <v>47.5</v>
      </c>
      <c r="BO28" s="153">
        <f t="shared" si="33"/>
        <v>0</v>
      </c>
      <c r="BP28" s="153">
        <f t="shared" si="34"/>
        <v>47.5</v>
      </c>
      <c r="BQ28" s="153">
        <f t="shared" si="35"/>
        <v>0</v>
      </c>
      <c r="BR28" s="153">
        <f t="shared" si="36"/>
        <v>0</v>
      </c>
      <c r="BS28" s="220">
        <f t="shared" si="37"/>
        <v>0</v>
      </c>
      <c r="BT28" s="153">
        <f t="shared" si="38"/>
        <v>0</v>
      </c>
      <c r="BU28" s="154">
        <f t="shared" si="39"/>
        <v>47.5</v>
      </c>
      <c r="BV28" s="154">
        <f t="shared" si="40"/>
        <v>0</v>
      </c>
      <c r="BW28" s="150"/>
      <c r="BX28" s="155">
        <f t="shared" si="41"/>
        <v>0</v>
      </c>
      <c r="BY28" s="273">
        <f t="shared" si="44"/>
        <v>0</v>
      </c>
      <c r="CA28"/>
    </row>
    <row r="29" spans="1:79" ht="15.75" customHeight="1">
      <c r="C29" s="2" t="s">
        <v>105</v>
      </c>
      <c r="D29" t="s">
        <v>7</v>
      </c>
      <c r="F29" s="277">
        <f>事業費用概算!G6</f>
        <v>0</v>
      </c>
      <c r="K29" t="s">
        <v>83</v>
      </c>
      <c r="N29" s="19" t="s">
        <v>7</v>
      </c>
      <c r="O29" s="51">
        <f>F30*$F$50+F29</f>
        <v>2850</v>
      </c>
      <c r="P29" s="51">
        <f>F28*(1-F51)</f>
        <v>2850</v>
      </c>
      <c r="Q29" t="s">
        <v>106</v>
      </c>
      <c r="V29" s="57">
        <f t="shared" si="42"/>
        <v>50130</v>
      </c>
      <c r="W29" s="7">
        <v>13</v>
      </c>
      <c r="X29" s="269" t="str">
        <f t="shared" si="0"/>
        <v>維持管理・運営期間</v>
      </c>
      <c r="Y29" s="158">
        <f t="shared" si="1"/>
        <v>0</v>
      </c>
      <c r="Z29" s="156">
        <f t="shared" si="2"/>
        <v>0</v>
      </c>
      <c r="AA29" s="156">
        <f t="shared" si="3"/>
        <v>0</v>
      </c>
      <c r="AB29" s="156">
        <f t="shared" si="4"/>
        <v>0</v>
      </c>
      <c r="AC29" s="157">
        <f t="shared" si="5"/>
        <v>0</v>
      </c>
      <c r="AD29" s="158">
        <f t="shared" si="6"/>
        <v>0</v>
      </c>
      <c r="AE29" s="156">
        <f t="shared" si="7"/>
        <v>50</v>
      </c>
      <c r="AF29" s="156">
        <f t="shared" si="8"/>
        <v>10</v>
      </c>
      <c r="AG29" s="156">
        <f>IF(AND(SUM($AA$16:AA28)&gt;0,SUM($AG$16:AG28)&lt;$O$62,$W29&gt;=$O$65),$O$64,0)</f>
        <v>64.125</v>
      </c>
      <c r="AH29" s="220">
        <f>IF(SUM($AA$17:$AA28)&gt;0,($O$62-SUM($AG$17:$AG28))*$E$65,0)</f>
        <v>13.466249999999999</v>
      </c>
      <c r="AI29" s="157">
        <f t="shared" si="9"/>
        <v>60</v>
      </c>
      <c r="AJ29" s="153">
        <f t="shared" si="10"/>
        <v>-60</v>
      </c>
      <c r="AK29" s="155">
        <f>(SUM($P$31,$P$51)-SUM($AU$17:AU28))*$O$109</f>
        <v>0</v>
      </c>
      <c r="AL29" s="160"/>
      <c r="AM29" s="154">
        <f t="shared" si="11"/>
        <v>-38.6060008019018</v>
      </c>
      <c r="AN29" s="161"/>
      <c r="AO29" s="152">
        <f t="shared" si="12"/>
        <v>0</v>
      </c>
      <c r="AP29" s="153">
        <f t="shared" si="13"/>
        <v>0</v>
      </c>
      <c r="AQ29" s="153">
        <f t="shared" si="14"/>
        <v>0</v>
      </c>
      <c r="AR29" s="156">
        <f t="shared" si="15"/>
        <v>0</v>
      </c>
      <c r="AS29" s="157">
        <f t="shared" si="16"/>
        <v>0</v>
      </c>
      <c r="AT29" s="156">
        <f t="shared" si="17"/>
        <v>0</v>
      </c>
      <c r="AU29" s="156">
        <f t="shared" si="18"/>
        <v>0</v>
      </c>
      <c r="AV29" s="156">
        <f t="shared" si="19"/>
        <v>0</v>
      </c>
      <c r="AW29" s="156">
        <f t="shared" si="20"/>
        <v>47.5</v>
      </c>
      <c r="AX29" s="156">
        <f t="shared" si="21"/>
        <v>6</v>
      </c>
      <c r="AY29" s="156">
        <f t="shared" si="22"/>
        <v>0</v>
      </c>
      <c r="AZ29" s="156">
        <f>IF(AND(SUM($AQ$16:AQ28)&gt;0,SUM($AZ$16:AZ28)&lt;$P$62,$W29&gt;=$P$65),$P$64,0)</f>
        <v>64.125</v>
      </c>
      <c r="BA29" s="156">
        <f>IF(SUM($AQ$17:$AQ28)&gt;0,($P$62-SUM($AZ$17:$AZ28))*$F$65,0)</f>
        <v>13.466249999999999</v>
      </c>
      <c r="BB29" s="157">
        <f t="shared" si="23"/>
        <v>53.5</v>
      </c>
      <c r="BC29" s="153">
        <f t="shared" si="24"/>
        <v>-53.5</v>
      </c>
      <c r="BD29" s="154">
        <f t="shared" si="25"/>
        <v>-34.423684048362432</v>
      </c>
      <c r="BE29" s="48"/>
      <c r="BF29" s="46">
        <f t="shared" si="43"/>
        <v>0.64343334669836327</v>
      </c>
      <c r="BH29" s="152">
        <f t="shared" si="26"/>
        <v>0</v>
      </c>
      <c r="BI29" s="152">
        <f t="shared" si="27"/>
        <v>0</v>
      </c>
      <c r="BJ29" s="153">
        <f t="shared" si="28"/>
        <v>0</v>
      </c>
      <c r="BK29" s="153">
        <f t="shared" si="29"/>
        <v>47.5</v>
      </c>
      <c r="BL29" s="153">
        <f t="shared" si="30"/>
        <v>0</v>
      </c>
      <c r="BM29" s="153">
        <f t="shared" si="31"/>
        <v>0</v>
      </c>
      <c r="BN29" s="154">
        <f t="shared" si="32"/>
        <v>47.5</v>
      </c>
      <c r="BO29" s="153">
        <f t="shared" si="33"/>
        <v>0</v>
      </c>
      <c r="BP29" s="153">
        <f t="shared" si="34"/>
        <v>47.5</v>
      </c>
      <c r="BQ29" s="153">
        <f t="shared" si="35"/>
        <v>0</v>
      </c>
      <c r="BR29" s="153">
        <f t="shared" si="36"/>
        <v>0</v>
      </c>
      <c r="BS29" s="220">
        <f t="shared" si="37"/>
        <v>0</v>
      </c>
      <c r="BT29" s="153">
        <f t="shared" si="38"/>
        <v>0</v>
      </c>
      <c r="BU29" s="154">
        <f t="shared" si="39"/>
        <v>47.5</v>
      </c>
      <c r="BV29" s="154">
        <f t="shared" si="40"/>
        <v>0</v>
      </c>
      <c r="BW29" s="150"/>
      <c r="BX29" s="155">
        <f t="shared" si="41"/>
        <v>0</v>
      </c>
      <c r="BY29" s="273">
        <f t="shared" si="44"/>
        <v>0</v>
      </c>
      <c r="CA29"/>
    </row>
    <row r="30" spans="1:79" ht="15.75" customHeight="1">
      <c r="C30" s="2" t="s">
        <v>107</v>
      </c>
      <c r="D30" t="s">
        <v>7</v>
      </c>
      <c r="F30" s="277">
        <f>事業費用概算!G7</f>
        <v>3000</v>
      </c>
      <c r="M30" s="55" t="s">
        <v>108</v>
      </c>
      <c r="N30" s="19" t="s">
        <v>7</v>
      </c>
      <c r="O30" s="50">
        <f>O29*E32</f>
        <v>2850</v>
      </c>
      <c r="P30" s="50">
        <f>$P$29*F32</f>
        <v>2850</v>
      </c>
      <c r="V30" s="57">
        <f t="shared" si="42"/>
        <v>50495</v>
      </c>
      <c r="W30" s="7">
        <v>14</v>
      </c>
      <c r="X30" s="269" t="str">
        <f t="shared" si="0"/>
        <v>維持管理・運営期間</v>
      </c>
      <c r="Y30" s="158">
        <f t="shared" si="1"/>
        <v>0</v>
      </c>
      <c r="Z30" s="156">
        <f t="shared" si="2"/>
        <v>0</v>
      </c>
      <c r="AA30" s="156">
        <f t="shared" si="3"/>
        <v>0</v>
      </c>
      <c r="AB30" s="156">
        <f t="shared" si="4"/>
        <v>0</v>
      </c>
      <c r="AC30" s="157">
        <f t="shared" si="5"/>
        <v>0</v>
      </c>
      <c r="AD30" s="158">
        <f t="shared" si="6"/>
        <v>0</v>
      </c>
      <c r="AE30" s="156">
        <f t="shared" si="7"/>
        <v>50</v>
      </c>
      <c r="AF30" s="156">
        <f t="shared" si="8"/>
        <v>10</v>
      </c>
      <c r="AG30" s="156">
        <f>IF(AND(SUM($AA$16:AA29)&gt;0,SUM($AG$16:AG29)&lt;$O$62,$W30&gt;=$O$65),$O$64,0)</f>
        <v>64.125</v>
      </c>
      <c r="AH30" s="220">
        <f>IF(SUM($AA$17:$AA29)&gt;0,($O$62-SUM($AG$17:$AG29))*$E$65,0)</f>
        <v>12.504375</v>
      </c>
      <c r="AI30" s="157">
        <f t="shared" si="9"/>
        <v>60</v>
      </c>
      <c r="AJ30" s="153">
        <f t="shared" si="10"/>
        <v>-60</v>
      </c>
      <c r="AK30" s="155">
        <f>(SUM($P$31,$P$51)-SUM($AU$17:AU29))*$O$109</f>
        <v>0</v>
      </c>
      <c r="AL30" s="160"/>
      <c r="AM30" s="154">
        <f t="shared" si="11"/>
        <v>-37.318512133302846</v>
      </c>
      <c r="AN30" s="161"/>
      <c r="AO30" s="152">
        <f t="shared" si="12"/>
        <v>0</v>
      </c>
      <c r="AP30" s="153">
        <f t="shared" si="13"/>
        <v>0</v>
      </c>
      <c r="AQ30" s="153">
        <f t="shared" si="14"/>
        <v>0</v>
      </c>
      <c r="AR30" s="156">
        <f t="shared" si="15"/>
        <v>0</v>
      </c>
      <c r="AS30" s="157">
        <f t="shared" si="16"/>
        <v>0</v>
      </c>
      <c r="AT30" s="156">
        <f t="shared" si="17"/>
        <v>0</v>
      </c>
      <c r="AU30" s="156">
        <f t="shared" si="18"/>
        <v>0</v>
      </c>
      <c r="AV30" s="156">
        <f t="shared" si="19"/>
        <v>0</v>
      </c>
      <c r="AW30" s="156">
        <f t="shared" si="20"/>
        <v>47.5</v>
      </c>
      <c r="AX30" s="156">
        <f t="shared" si="21"/>
        <v>6</v>
      </c>
      <c r="AY30" s="156">
        <f t="shared" si="22"/>
        <v>0</v>
      </c>
      <c r="AZ30" s="156">
        <f>IF(AND(SUM($AQ$16:AQ29)&gt;0,SUM($AZ$16:AZ29)&lt;$P$62,$W30&gt;=$P$65),$P$64,0)</f>
        <v>64.125</v>
      </c>
      <c r="BA30" s="156">
        <f>IF(SUM($AQ$17:$AQ29)&gt;0,($P$62-SUM($AZ$17:$AZ29))*$F$65,0)</f>
        <v>12.504375</v>
      </c>
      <c r="BB30" s="157">
        <f t="shared" si="23"/>
        <v>53.5</v>
      </c>
      <c r="BC30" s="153">
        <f t="shared" si="24"/>
        <v>-53.5</v>
      </c>
      <c r="BD30" s="154">
        <f t="shared" si="25"/>
        <v>-33.275673318861706</v>
      </c>
      <c r="BE30" s="48"/>
      <c r="BF30" s="46">
        <f t="shared" si="43"/>
        <v>0.6219752022217141</v>
      </c>
      <c r="BH30" s="152">
        <f t="shared" si="26"/>
        <v>0</v>
      </c>
      <c r="BI30" s="152">
        <f t="shared" si="27"/>
        <v>0</v>
      </c>
      <c r="BJ30" s="153">
        <f t="shared" si="28"/>
        <v>0</v>
      </c>
      <c r="BK30" s="153">
        <f t="shared" si="29"/>
        <v>47.5</v>
      </c>
      <c r="BL30" s="153">
        <f t="shared" si="30"/>
        <v>0</v>
      </c>
      <c r="BM30" s="153">
        <f t="shared" si="31"/>
        <v>0</v>
      </c>
      <c r="BN30" s="154">
        <f t="shared" si="32"/>
        <v>47.5</v>
      </c>
      <c r="BO30" s="153">
        <f t="shared" si="33"/>
        <v>0</v>
      </c>
      <c r="BP30" s="153">
        <f t="shared" si="34"/>
        <v>47.5</v>
      </c>
      <c r="BQ30" s="153">
        <f t="shared" si="35"/>
        <v>0</v>
      </c>
      <c r="BR30" s="153">
        <f t="shared" si="36"/>
        <v>0</v>
      </c>
      <c r="BS30" s="220">
        <f t="shared" si="37"/>
        <v>0</v>
      </c>
      <c r="BT30" s="153">
        <f t="shared" si="38"/>
        <v>0</v>
      </c>
      <c r="BU30" s="154">
        <f t="shared" si="39"/>
        <v>47.5</v>
      </c>
      <c r="BV30" s="154">
        <f t="shared" si="40"/>
        <v>0</v>
      </c>
      <c r="BW30" s="150"/>
      <c r="BX30" s="155">
        <f t="shared" si="41"/>
        <v>0</v>
      </c>
      <c r="BY30" s="273">
        <f t="shared" si="44"/>
        <v>0</v>
      </c>
      <c r="CA30"/>
    </row>
    <row r="31" spans="1:79" ht="15.75" customHeight="1">
      <c r="C31" t="s">
        <v>109</v>
      </c>
      <c r="E31" s="19" t="s">
        <v>2</v>
      </c>
      <c r="F31" s="19" t="s">
        <v>50</v>
      </c>
      <c r="M31" s="55" t="s">
        <v>110</v>
      </c>
      <c r="N31" s="19" t="s">
        <v>7</v>
      </c>
      <c r="O31" s="50">
        <f>O30*E33</f>
        <v>0</v>
      </c>
      <c r="P31" s="50">
        <f>$P$29*F33</f>
        <v>0</v>
      </c>
      <c r="V31" s="57">
        <f t="shared" si="42"/>
        <v>50860</v>
      </c>
      <c r="W31" s="7">
        <v>15</v>
      </c>
      <c r="X31" s="269" t="str">
        <f t="shared" si="0"/>
        <v>維持管理・運営期間</v>
      </c>
      <c r="Y31" s="158">
        <f t="shared" si="1"/>
        <v>0</v>
      </c>
      <c r="Z31" s="156">
        <f t="shared" si="2"/>
        <v>0</v>
      </c>
      <c r="AA31" s="156">
        <f t="shared" si="3"/>
        <v>0</v>
      </c>
      <c r="AB31" s="156">
        <f t="shared" si="4"/>
        <v>0</v>
      </c>
      <c r="AC31" s="157">
        <f t="shared" si="5"/>
        <v>0</v>
      </c>
      <c r="AD31" s="158">
        <f t="shared" si="6"/>
        <v>0</v>
      </c>
      <c r="AE31" s="156">
        <f t="shared" si="7"/>
        <v>50</v>
      </c>
      <c r="AF31" s="156">
        <f t="shared" si="8"/>
        <v>10</v>
      </c>
      <c r="AG31" s="156">
        <f>IF(AND(SUM($AA$16:AA30)&gt;0,SUM($AG$16:AG30)&lt;$O$62,$W31&gt;=$O$65),$O$64,0)</f>
        <v>64.125</v>
      </c>
      <c r="AH31" s="220">
        <f>IF(SUM($AA$17:$AA30)&gt;0,($O$62-SUM($AG$17:$AG30))*$E$65,0)</f>
        <v>11.5425</v>
      </c>
      <c r="AI31" s="157">
        <f t="shared" si="9"/>
        <v>60</v>
      </c>
      <c r="AJ31" s="153">
        <f t="shared" si="10"/>
        <v>-60</v>
      </c>
      <c r="AK31" s="155">
        <f>(SUM($P$31,$P$51)-SUM($AU$17:AU30))*$O$109</f>
        <v>0</v>
      </c>
      <c r="AL31" s="160"/>
      <c r="AM31" s="154">
        <f t="shared" si="11"/>
        <v>-36.073960496184483</v>
      </c>
      <c r="AN31" s="161"/>
      <c r="AO31" s="152">
        <f t="shared" si="12"/>
        <v>0</v>
      </c>
      <c r="AP31" s="153">
        <f t="shared" si="13"/>
        <v>0</v>
      </c>
      <c r="AQ31" s="153">
        <f t="shared" si="14"/>
        <v>0</v>
      </c>
      <c r="AR31" s="156">
        <f t="shared" si="15"/>
        <v>0</v>
      </c>
      <c r="AS31" s="157">
        <f t="shared" si="16"/>
        <v>0</v>
      </c>
      <c r="AT31" s="156">
        <f t="shared" si="17"/>
        <v>0</v>
      </c>
      <c r="AU31" s="156">
        <f t="shared" si="18"/>
        <v>0</v>
      </c>
      <c r="AV31" s="156">
        <f t="shared" si="19"/>
        <v>0</v>
      </c>
      <c r="AW31" s="156">
        <f t="shared" si="20"/>
        <v>47.5</v>
      </c>
      <c r="AX31" s="156">
        <f t="shared" si="21"/>
        <v>6</v>
      </c>
      <c r="AY31" s="156">
        <f t="shared" si="22"/>
        <v>0</v>
      </c>
      <c r="AZ31" s="156">
        <f>IF(AND(SUM($AQ$16:AQ30)&gt;0,SUM($AZ$16:AZ30)&lt;$P$62,$W31&gt;=$P$65),$P$64,0)</f>
        <v>64.125</v>
      </c>
      <c r="BA31" s="156">
        <f>IF(SUM($AQ$17:$AQ30)&gt;0,($P$62-SUM($AZ$17:$AZ30))*$F$65,0)</f>
        <v>11.5425</v>
      </c>
      <c r="BB31" s="157">
        <f t="shared" si="23"/>
        <v>53.5</v>
      </c>
      <c r="BC31" s="153">
        <f t="shared" si="24"/>
        <v>-53.5</v>
      </c>
      <c r="BD31" s="154">
        <f t="shared" si="25"/>
        <v>-32.165948109097833</v>
      </c>
      <c r="BE31" s="48"/>
      <c r="BF31" s="46">
        <f t="shared" si="43"/>
        <v>0.60123267493640808</v>
      </c>
      <c r="BH31" s="152">
        <f t="shared" si="26"/>
        <v>0</v>
      </c>
      <c r="BI31" s="152">
        <f t="shared" si="27"/>
        <v>0</v>
      </c>
      <c r="BJ31" s="153">
        <f t="shared" si="28"/>
        <v>0</v>
      </c>
      <c r="BK31" s="153">
        <f t="shared" si="29"/>
        <v>47.5</v>
      </c>
      <c r="BL31" s="153">
        <f t="shared" si="30"/>
        <v>0</v>
      </c>
      <c r="BM31" s="153">
        <f t="shared" si="31"/>
        <v>0</v>
      </c>
      <c r="BN31" s="154">
        <f t="shared" si="32"/>
        <v>47.5</v>
      </c>
      <c r="BO31" s="153">
        <f t="shared" si="33"/>
        <v>0</v>
      </c>
      <c r="BP31" s="153">
        <f t="shared" si="34"/>
        <v>47.5</v>
      </c>
      <c r="BQ31" s="153">
        <f t="shared" si="35"/>
        <v>0</v>
      </c>
      <c r="BR31" s="153">
        <f t="shared" si="36"/>
        <v>0</v>
      </c>
      <c r="BS31" s="220">
        <f t="shared" si="37"/>
        <v>0</v>
      </c>
      <c r="BT31" s="153">
        <f t="shared" si="38"/>
        <v>0</v>
      </c>
      <c r="BU31" s="154">
        <f t="shared" si="39"/>
        <v>47.5</v>
      </c>
      <c r="BV31" s="154">
        <f t="shared" si="40"/>
        <v>0</v>
      </c>
      <c r="BW31" s="150"/>
      <c r="BX31" s="155">
        <f t="shared" si="41"/>
        <v>0</v>
      </c>
      <c r="BY31" s="273">
        <f t="shared" si="44"/>
        <v>0</v>
      </c>
      <c r="CA31"/>
    </row>
    <row r="32" spans="1:79" ht="15.75" customHeight="1">
      <c r="C32" s="2" t="s">
        <v>108</v>
      </c>
      <c r="D32" t="s">
        <v>38</v>
      </c>
      <c r="E32" s="258">
        <v>1</v>
      </c>
      <c r="F32" s="135">
        <v>1</v>
      </c>
      <c r="H32" s="71" t="s">
        <v>111</v>
      </c>
      <c r="M32" s="55" t="s">
        <v>112</v>
      </c>
      <c r="N32" s="19" t="s">
        <v>7</v>
      </c>
      <c r="O32" s="50">
        <f>SUM(O30:O31)</f>
        <v>2850</v>
      </c>
      <c r="P32" s="50">
        <f>SUM(P30:P31)</f>
        <v>2850</v>
      </c>
      <c r="V32" s="57">
        <f t="shared" si="42"/>
        <v>51226</v>
      </c>
      <c r="W32" s="7">
        <v>16</v>
      </c>
      <c r="X32" s="269" t="str">
        <f t="shared" si="0"/>
        <v>維持管理・運営期間</v>
      </c>
      <c r="Y32" s="158">
        <f t="shared" si="1"/>
        <v>0</v>
      </c>
      <c r="Z32" s="156">
        <f t="shared" si="2"/>
        <v>0</v>
      </c>
      <c r="AA32" s="156">
        <f t="shared" si="3"/>
        <v>0</v>
      </c>
      <c r="AB32" s="156">
        <f t="shared" si="4"/>
        <v>0</v>
      </c>
      <c r="AC32" s="157">
        <f t="shared" si="5"/>
        <v>0</v>
      </c>
      <c r="AD32" s="158">
        <f t="shared" si="6"/>
        <v>0</v>
      </c>
      <c r="AE32" s="156">
        <f t="shared" si="7"/>
        <v>50</v>
      </c>
      <c r="AF32" s="156">
        <f t="shared" si="8"/>
        <v>10</v>
      </c>
      <c r="AG32" s="156">
        <f>IF(AND(SUM($AA$16:AA31)&gt;0,SUM($AG$16:AG31)&lt;$O$62,$W32&gt;=$O$65),$O$64,0)</f>
        <v>64.125</v>
      </c>
      <c r="AH32" s="220">
        <f>IF(SUM($AA$17:$AA31)&gt;0,($O$62-SUM($AG$17:$AG31))*$E$65,0)</f>
        <v>10.580625</v>
      </c>
      <c r="AI32" s="157">
        <f t="shared" si="9"/>
        <v>60</v>
      </c>
      <c r="AJ32" s="153">
        <f t="shared" si="10"/>
        <v>-60</v>
      </c>
      <c r="AK32" s="155">
        <f>(SUM($P$31,$P$51)-SUM($AU$17:AU31))*$O$109</f>
        <v>0</v>
      </c>
      <c r="AL32" s="160"/>
      <c r="AM32" s="154">
        <f t="shared" si="11"/>
        <v>-34.87091396441226</v>
      </c>
      <c r="AN32" s="161"/>
      <c r="AO32" s="152">
        <f t="shared" si="12"/>
        <v>0</v>
      </c>
      <c r="AP32" s="153">
        <f t="shared" si="13"/>
        <v>0</v>
      </c>
      <c r="AQ32" s="153">
        <f t="shared" si="14"/>
        <v>0</v>
      </c>
      <c r="AR32" s="156">
        <f t="shared" si="15"/>
        <v>0</v>
      </c>
      <c r="AS32" s="157">
        <f t="shared" si="16"/>
        <v>0</v>
      </c>
      <c r="AT32" s="156">
        <f t="shared" si="17"/>
        <v>0</v>
      </c>
      <c r="AU32" s="156">
        <f t="shared" si="18"/>
        <v>0</v>
      </c>
      <c r="AV32" s="156">
        <f t="shared" si="19"/>
        <v>0</v>
      </c>
      <c r="AW32" s="156">
        <f t="shared" si="20"/>
        <v>47.5</v>
      </c>
      <c r="AX32" s="156">
        <f t="shared" si="21"/>
        <v>6</v>
      </c>
      <c r="AY32" s="156">
        <f t="shared" si="22"/>
        <v>0</v>
      </c>
      <c r="AZ32" s="156">
        <f>IF(AND(SUM($AQ$16:AQ31)&gt;0,SUM($AZ$16:AZ31)&lt;$P$62,$W32&gt;=$P$65),$P$64,0)</f>
        <v>64.125</v>
      </c>
      <c r="BA32" s="156">
        <f>IF(SUM($AQ$17:$AQ31)&gt;0,($P$62-SUM($AZ$17:$AZ31))*$F$65,0)</f>
        <v>10.580625</v>
      </c>
      <c r="BB32" s="157">
        <f t="shared" si="23"/>
        <v>53.5</v>
      </c>
      <c r="BC32" s="153">
        <f t="shared" si="24"/>
        <v>-53.5</v>
      </c>
      <c r="BD32" s="154">
        <f t="shared" si="25"/>
        <v>-31.093231618267602</v>
      </c>
      <c r="BE32" s="48"/>
      <c r="BF32" s="46">
        <f t="shared" si="43"/>
        <v>0.58118189940687104</v>
      </c>
      <c r="BH32" s="152">
        <f t="shared" si="26"/>
        <v>0</v>
      </c>
      <c r="BI32" s="152">
        <f t="shared" si="27"/>
        <v>0</v>
      </c>
      <c r="BJ32" s="153">
        <f t="shared" si="28"/>
        <v>0</v>
      </c>
      <c r="BK32" s="153">
        <f t="shared" si="29"/>
        <v>47.5</v>
      </c>
      <c r="BL32" s="153">
        <f t="shared" si="30"/>
        <v>0</v>
      </c>
      <c r="BM32" s="153">
        <f t="shared" si="31"/>
        <v>0</v>
      </c>
      <c r="BN32" s="154">
        <f t="shared" si="32"/>
        <v>47.5</v>
      </c>
      <c r="BO32" s="153">
        <f t="shared" si="33"/>
        <v>0</v>
      </c>
      <c r="BP32" s="153">
        <f t="shared" si="34"/>
        <v>47.5</v>
      </c>
      <c r="BQ32" s="153">
        <f t="shared" si="35"/>
        <v>0</v>
      </c>
      <c r="BR32" s="153">
        <f t="shared" si="36"/>
        <v>0</v>
      </c>
      <c r="BS32" s="220">
        <f t="shared" si="37"/>
        <v>0</v>
      </c>
      <c r="BT32" s="153">
        <f t="shared" si="38"/>
        <v>0</v>
      </c>
      <c r="BU32" s="154">
        <f t="shared" si="39"/>
        <v>47.5</v>
      </c>
      <c r="BV32" s="154">
        <f t="shared" si="40"/>
        <v>0</v>
      </c>
      <c r="BW32" s="150"/>
      <c r="BX32" s="155">
        <f t="shared" si="41"/>
        <v>0</v>
      </c>
      <c r="BY32" s="273">
        <f t="shared" si="44"/>
        <v>0</v>
      </c>
      <c r="CA32"/>
    </row>
    <row r="33" spans="2:79" ht="15.75" customHeight="1">
      <c r="C33" s="2" t="s">
        <v>110</v>
      </c>
      <c r="D33" t="s">
        <v>38</v>
      </c>
      <c r="E33" s="136"/>
      <c r="F33" s="136"/>
      <c r="V33" s="57">
        <f t="shared" si="42"/>
        <v>51591</v>
      </c>
      <c r="W33" s="7">
        <v>17</v>
      </c>
      <c r="X33" s="269" t="str">
        <f t="shared" si="0"/>
        <v>維持管理・運営期間</v>
      </c>
      <c r="Y33" s="158">
        <f t="shared" si="1"/>
        <v>0</v>
      </c>
      <c r="Z33" s="156">
        <f t="shared" si="2"/>
        <v>0</v>
      </c>
      <c r="AA33" s="156">
        <f t="shared" si="3"/>
        <v>0</v>
      </c>
      <c r="AB33" s="156">
        <f t="shared" si="4"/>
        <v>0</v>
      </c>
      <c r="AC33" s="157">
        <f t="shared" si="5"/>
        <v>0</v>
      </c>
      <c r="AD33" s="158">
        <f t="shared" si="6"/>
        <v>0</v>
      </c>
      <c r="AE33" s="156">
        <f t="shared" si="7"/>
        <v>50</v>
      </c>
      <c r="AF33" s="156">
        <f t="shared" si="8"/>
        <v>10</v>
      </c>
      <c r="AG33" s="156">
        <f>IF(AND(SUM($AA$16:AA32)&gt;0,SUM($AG$16:AG32)&lt;$O$62,$W33&gt;=$O$65),$O$64,0)</f>
        <v>64.125</v>
      </c>
      <c r="AH33" s="220">
        <f>IF(SUM($AA$17:$AA32)&gt;0,($O$62-SUM($AG$17:$AG32))*$E$65,0)</f>
        <v>9.6187500000000004</v>
      </c>
      <c r="AI33" s="157">
        <f t="shared" si="9"/>
        <v>60</v>
      </c>
      <c r="AJ33" s="153">
        <f t="shared" si="10"/>
        <v>-60</v>
      </c>
      <c r="AK33" s="155">
        <f>(SUM($P$31,$P$51)-SUM($AU$17:AU32))*$O$109</f>
        <v>0</v>
      </c>
      <c r="AL33" s="160"/>
      <c r="AM33" s="154">
        <f t="shared" si="11"/>
        <v>-33.707988365792424</v>
      </c>
      <c r="AN33" s="161"/>
      <c r="AO33" s="152">
        <f t="shared" si="12"/>
        <v>0</v>
      </c>
      <c r="AP33" s="153">
        <f t="shared" si="13"/>
        <v>0</v>
      </c>
      <c r="AQ33" s="153">
        <f t="shared" si="14"/>
        <v>0</v>
      </c>
      <c r="AR33" s="156">
        <f t="shared" si="15"/>
        <v>0</v>
      </c>
      <c r="AS33" s="157">
        <f t="shared" si="16"/>
        <v>0</v>
      </c>
      <c r="AT33" s="156">
        <f t="shared" si="17"/>
        <v>0</v>
      </c>
      <c r="AU33" s="156">
        <f t="shared" si="18"/>
        <v>0</v>
      </c>
      <c r="AV33" s="156">
        <f t="shared" si="19"/>
        <v>0</v>
      </c>
      <c r="AW33" s="156">
        <f t="shared" si="20"/>
        <v>47.5</v>
      </c>
      <c r="AX33" s="156">
        <f t="shared" si="21"/>
        <v>6</v>
      </c>
      <c r="AY33" s="156">
        <f t="shared" si="22"/>
        <v>0</v>
      </c>
      <c r="AZ33" s="156">
        <f>IF(AND(SUM($AQ$16:AQ32)&gt;0,SUM($AZ$16:AZ32)&lt;$P$62,$W33&gt;=$P$65),$P$64,0)</f>
        <v>64.125</v>
      </c>
      <c r="BA33" s="156">
        <f>IF(SUM($AQ$17:$AQ32)&gt;0,($P$62-SUM($AZ$17:$AZ32))*$F$65,0)</f>
        <v>9.6187500000000004</v>
      </c>
      <c r="BB33" s="157">
        <f t="shared" si="23"/>
        <v>53.5</v>
      </c>
      <c r="BC33" s="153">
        <f t="shared" si="24"/>
        <v>-53.5</v>
      </c>
      <c r="BD33" s="154">
        <f t="shared" si="25"/>
        <v>-30.056289626164915</v>
      </c>
      <c r="BE33" s="48"/>
      <c r="BF33" s="46">
        <f t="shared" si="43"/>
        <v>0.56179980609654045</v>
      </c>
      <c r="BH33" s="152">
        <f t="shared" si="26"/>
        <v>0</v>
      </c>
      <c r="BI33" s="152">
        <f t="shared" si="27"/>
        <v>0</v>
      </c>
      <c r="BJ33" s="153">
        <f t="shared" si="28"/>
        <v>0</v>
      </c>
      <c r="BK33" s="153">
        <f t="shared" si="29"/>
        <v>47.5</v>
      </c>
      <c r="BL33" s="153">
        <f t="shared" si="30"/>
        <v>0</v>
      </c>
      <c r="BM33" s="153">
        <f t="shared" si="31"/>
        <v>0</v>
      </c>
      <c r="BN33" s="154">
        <f t="shared" si="32"/>
        <v>47.5</v>
      </c>
      <c r="BO33" s="153">
        <f t="shared" si="33"/>
        <v>0</v>
      </c>
      <c r="BP33" s="153">
        <f t="shared" si="34"/>
        <v>47.5</v>
      </c>
      <c r="BQ33" s="153">
        <f t="shared" si="35"/>
        <v>0</v>
      </c>
      <c r="BR33" s="153">
        <f t="shared" si="36"/>
        <v>0</v>
      </c>
      <c r="BS33" s="220">
        <f t="shared" si="37"/>
        <v>0</v>
      </c>
      <c r="BT33" s="153">
        <f t="shared" si="38"/>
        <v>0</v>
      </c>
      <c r="BU33" s="154">
        <f t="shared" si="39"/>
        <v>47.5</v>
      </c>
      <c r="BV33" s="154">
        <f t="shared" si="40"/>
        <v>0</v>
      </c>
      <c r="BW33" s="150"/>
      <c r="BX33" s="155">
        <f t="shared" si="41"/>
        <v>0</v>
      </c>
      <c r="BY33" s="273">
        <f t="shared" si="44"/>
        <v>0</v>
      </c>
      <c r="CA33"/>
    </row>
    <row r="34" spans="2:79" ht="15.75" customHeight="1">
      <c r="E34" s="13">
        <f>SUM(E32:E33)</f>
        <v>1</v>
      </c>
      <c r="F34" s="13">
        <f>SUM(F32:F33)</f>
        <v>1</v>
      </c>
      <c r="V34" s="57">
        <f t="shared" si="42"/>
        <v>51956</v>
      </c>
      <c r="W34" s="7">
        <v>18</v>
      </c>
      <c r="X34" s="269" t="str">
        <f t="shared" si="0"/>
        <v>維持管理・運営期間</v>
      </c>
      <c r="Y34" s="158">
        <f t="shared" si="1"/>
        <v>0</v>
      </c>
      <c r="Z34" s="156">
        <f t="shared" si="2"/>
        <v>0</v>
      </c>
      <c r="AA34" s="156">
        <f t="shared" si="3"/>
        <v>0</v>
      </c>
      <c r="AB34" s="156">
        <f t="shared" si="4"/>
        <v>0</v>
      </c>
      <c r="AC34" s="157">
        <f t="shared" si="5"/>
        <v>0</v>
      </c>
      <c r="AD34" s="158">
        <f t="shared" si="6"/>
        <v>0</v>
      </c>
      <c r="AE34" s="156">
        <f t="shared" si="7"/>
        <v>50</v>
      </c>
      <c r="AF34" s="156">
        <f t="shared" si="8"/>
        <v>10</v>
      </c>
      <c r="AG34" s="156">
        <f>IF(AND(SUM($AA$16:AA33)&gt;0,SUM($AG$16:AG33)&lt;$O$62,$W34&gt;=$O$65),$O$64,0)</f>
        <v>64.125</v>
      </c>
      <c r="AH34" s="220">
        <f>IF(SUM($AA$17:$AA33)&gt;0,($O$62-SUM($AG$17:$AG33))*$E$65,0)</f>
        <v>8.6568749999999994</v>
      </c>
      <c r="AI34" s="157">
        <f t="shared" si="9"/>
        <v>60</v>
      </c>
      <c r="AJ34" s="153">
        <f t="shared" si="10"/>
        <v>-60</v>
      </c>
      <c r="AK34" s="155">
        <f>(SUM($P$31,$P$51)-SUM($AU$17:AU33))*$O$109</f>
        <v>0</v>
      </c>
      <c r="AL34" s="160"/>
      <c r="AM34" s="154">
        <f t="shared" si="11"/>
        <v>-32.583845689504521</v>
      </c>
      <c r="AN34" s="161"/>
      <c r="AO34" s="152">
        <f t="shared" si="12"/>
        <v>0</v>
      </c>
      <c r="AP34" s="153">
        <f t="shared" si="13"/>
        <v>0</v>
      </c>
      <c r="AQ34" s="153">
        <f t="shared" si="14"/>
        <v>0</v>
      </c>
      <c r="AR34" s="156">
        <f t="shared" si="15"/>
        <v>0</v>
      </c>
      <c r="AS34" s="157">
        <f t="shared" si="16"/>
        <v>0</v>
      </c>
      <c r="AT34" s="156">
        <f t="shared" si="17"/>
        <v>0</v>
      </c>
      <c r="AU34" s="156">
        <f t="shared" si="18"/>
        <v>0</v>
      </c>
      <c r="AV34" s="156">
        <f t="shared" si="19"/>
        <v>0</v>
      </c>
      <c r="AW34" s="156">
        <f t="shared" si="20"/>
        <v>47.5</v>
      </c>
      <c r="AX34" s="156">
        <f t="shared" si="21"/>
        <v>6</v>
      </c>
      <c r="AY34" s="156">
        <f t="shared" si="22"/>
        <v>0</v>
      </c>
      <c r="AZ34" s="156">
        <f>IF(AND(SUM($AQ$16:AQ33)&gt;0,SUM($AZ$16:AZ33)&lt;$P$62,$W34&gt;=$P$65),$P$64,0)</f>
        <v>64.125</v>
      </c>
      <c r="BA34" s="156">
        <f>IF(SUM($AQ$17:$AQ33)&gt;0,($P$62-SUM($AZ$17:$AZ33))*$F$65,0)</f>
        <v>8.6568749999999994</v>
      </c>
      <c r="BB34" s="157">
        <f t="shared" si="23"/>
        <v>53.5</v>
      </c>
      <c r="BC34" s="153">
        <f t="shared" si="24"/>
        <v>-53.5</v>
      </c>
      <c r="BD34" s="154">
        <f t="shared" si="25"/>
        <v>-29.053929073141532</v>
      </c>
      <c r="BE34" s="48"/>
      <c r="BF34" s="46">
        <f t="shared" si="43"/>
        <v>0.54306409482507534</v>
      </c>
      <c r="BH34" s="152">
        <f t="shared" si="26"/>
        <v>0</v>
      </c>
      <c r="BI34" s="152">
        <f t="shared" si="27"/>
        <v>0</v>
      </c>
      <c r="BJ34" s="153">
        <f t="shared" si="28"/>
        <v>0</v>
      </c>
      <c r="BK34" s="153">
        <f t="shared" si="29"/>
        <v>47.5</v>
      </c>
      <c r="BL34" s="153">
        <f t="shared" si="30"/>
        <v>0</v>
      </c>
      <c r="BM34" s="153">
        <f t="shared" si="31"/>
        <v>0</v>
      </c>
      <c r="BN34" s="154">
        <f t="shared" si="32"/>
        <v>47.5</v>
      </c>
      <c r="BO34" s="153">
        <f t="shared" si="33"/>
        <v>0</v>
      </c>
      <c r="BP34" s="153">
        <f t="shared" si="34"/>
        <v>47.5</v>
      </c>
      <c r="BQ34" s="153">
        <f t="shared" si="35"/>
        <v>0</v>
      </c>
      <c r="BR34" s="153">
        <f t="shared" si="36"/>
        <v>0</v>
      </c>
      <c r="BS34" s="220">
        <f t="shared" si="37"/>
        <v>0</v>
      </c>
      <c r="BT34" s="153">
        <f t="shared" si="38"/>
        <v>0</v>
      </c>
      <c r="BU34" s="154">
        <f t="shared" si="39"/>
        <v>47.5</v>
      </c>
      <c r="BV34" s="154">
        <f t="shared" si="40"/>
        <v>0</v>
      </c>
      <c r="BW34" s="150"/>
      <c r="BX34" s="155">
        <f t="shared" si="41"/>
        <v>0</v>
      </c>
      <c r="BY34" s="273">
        <f t="shared" si="44"/>
        <v>0</v>
      </c>
      <c r="CA34"/>
    </row>
    <row r="35" spans="2:79" ht="15.75" customHeight="1">
      <c r="B35" s="55" t="s">
        <v>113</v>
      </c>
      <c r="C35" s="2" t="s">
        <v>114</v>
      </c>
      <c r="D35" t="s">
        <v>38</v>
      </c>
      <c r="F35" s="15">
        <v>0</v>
      </c>
      <c r="H35" s="147" t="s">
        <v>115</v>
      </c>
      <c r="J35" s="101" t="s">
        <v>116</v>
      </c>
      <c r="P35" t="s">
        <v>50</v>
      </c>
      <c r="V35" s="57">
        <f t="shared" si="42"/>
        <v>52321</v>
      </c>
      <c r="W35" s="7">
        <v>19</v>
      </c>
      <c r="X35" s="269" t="str">
        <f t="shared" si="0"/>
        <v>維持管理・運営期間</v>
      </c>
      <c r="Y35" s="158">
        <f t="shared" si="1"/>
        <v>0</v>
      </c>
      <c r="Z35" s="156">
        <f t="shared" si="2"/>
        <v>0</v>
      </c>
      <c r="AA35" s="156">
        <f t="shared" si="3"/>
        <v>0</v>
      </c>
      <c r="AB35" s="156">
        <f t="shared" si="4"/>
        <v>0</v>
      </c>
      <c r="AC35" s="157">
        <f t="shared" si="5"/>
        <v>0</v>
      </c>
      <c r="AD35" s="158">
        <f t="shared" si="6"/>
        <v>0</v>
      </c>
      <c r="AE35" s="156">
        <f t="shared" si="7"/>
        <v>50</v>
      </c>
      <c r="AF35" s="156">
        <f t="shared" si="8"/>
        <v>10</v>
      </c>
      <c r="AG35" s="156">
        <f>IF(AND(SUM($AA$16:AA34)&gt;0,SUM($AG$16:AG34)&lt;$O$62,$W35&gt;=$O$65),$O$64,0)</f>
        <v>64.125</v>
      </c>
      <c r="AH35" s="220">
        <f>IF(SUM($AA$17:$AA34)&gt;0,($O$62-SUM($AG$17:$AG34))*$E$65,0)</f>
        <v>7.6949999999999994</v>
      </c>
      <c r="AI35" s="157">
        <f t="shared" si="9"/>
        <v>60</v>
      </c>
      <c r="AJ35" s="153">
        <f t="shared" si="10"/>
        <v>-60</v>
      </c>
      <c r="AK35" s="155">
        <f>(SUM($P$31,$P$51)-SUM($AU$17:AU34))*$O$109</f>
        <v>0</v>
      </c>
      <c r="AL35" s="160"/>
      <c r="AM35" s="154">
        <f t="shared" si="11"/>
        <v>-31.497192546645262</v>
      </c>
      <c r="AN35" s="161"/>
      <c r="AO35" s="152">
        <f t="shared" si="12"/>
        <v>0</v>
      </c>
      <c r="AP35" s="153">
        <f t="shared" si="13"/>
        <v>0</v>
      </c>
      <c r="AQ35" s="153">
        <f t="shared" si="14"/>
        <v>0</v>
      </c>
      <c r="AR35" s="156">
        <f t="shared" si="15"/>
        <v>0</v>
      </c>
      <c r="AS35" s="157">
        <f t="shared" si="16"/>
        <v>0</v>
      </c>
      <c r="AT35" s="156">
        <f t="shared" si="17"/>
        <v>0</v>
      </c>
      <c r="AU35" s="156">
        <f t="shared" si="18"/>
        <v>0</v>
      </c>
      <c r="AV35" s="156">
        <f t="shared" si="19"/>
        <v>0</v>
      </c>
      <c r="AW35" s="156">
        <f t="shared" si="20"/>
        <v>47.5</v>
      </c>
      <c r="AX35" s="156">
        <f t="shared" si="21"/>
        <v>6</v>
      </c>
      <c r="AY35" s="156">
        <f t="shared" si="22"/>
        <v>0</v>
      </c>
      <c r="AZ35" s="156">
        <f>IF(AND(SUM($AQ$16:AQ34)&gt;0,SUM($AZ$16:AZ34)&lt;$P$62,$W35&gt;=$P$65),$P$64,0)</f>
        <v>64.125</v>
      </c>
      <c r="BA35" s="156">
        <f>IF(SUM($AQ$17:$AQ34)&gt;0,($P$62-SUM($AZ$17:$AZ34))*$F$65,0)</f>
        <v>7.6949999999999994</v>
      </c>
      <c r="BB35" s="157">
        <f t="shared" si="23"/>
        <v>53.5</v>
      </c>
      <c r="BC35" s="153">
        <f t="shared" si="24"/>
        <v>-53.5</v>
      </c>
      <c r="BD35" s="154">
        <f t="shared" si="25"/>
        <v>-28.08499668742536</v>
      </c>
      <c r="BE35" s="48"/>
      <c r="BF35" s="46">
        <f t="shared" si="43"/>
        <v>0.52495320911075438</v>
      </c>
      <c r="BH35" s="152">
        <f t="shared" si="26"/>
        <v>0</v>
      </c>
      <c r="BI35" s="152">
        <f t="shared" si="27"/>
        <v>0</v>
      </c>
      <c r="BJ35" s="153">
        <f t="shared" si="28"/>
        <v>0</v>
      </c>
      <c r="BK35" s="153">
        <f t="shared" si="29"/>
        <v>47.5</v>
      </c>
      <c r="BL35" s="153">
        <f t="shared" si="30"/>
        <v>0</v>
      </c>
      <c r="BM35" s="153">
        <f t="shared" si="31"/>
        <v>0</v>
      </c>
      <c r="BN35" s="154">
        <f t="shared" si="32"/>
        <v>47.5</v>
      </c>
      <c r="BO35" s="153">
        <f t="shared" si="33"/>
        <v>0</v>
      </c>
      <c r="BP35" s="153">
        <f t="shared" si="34"/>
        <v>47.5</v>
      </c>
      <c r="BQ35" s="153">
        <f t="shared" si="35"/>
        <v>0</v>
      </c>
      <c r="BR35" s="153">
        <f t="shared" si="36"/>
        <v>0</v>
      </c>
      <c r="BS35" s="220">
        <f t="shared" si="37"/>
        <v>0</v>
      </c>
      <c r="BT35" s="153">
        <f t="shared" si="38"/>
        <v>0</v>
      </c>
      <c r="BU35" s="154">
        <f t="shared" si="39"/>
        <v>47.5</v>
      </c>
      <c r="BV35" s="154">
        <f t="shared" si="40"/>
        <v>0</v>
      </c>
      <c r="BW35" s="150"/>
      <c r="BX35" s="155">
        <f t="shared" si="41"/>
        <v>0</v>
      </c>
      <c r="BY35" s="273">
        <f t="shared" si="44"/>
        <v>0</v>
      </c>
      <c r="CA35"/>
    </row>
    <row r="36" spans="2:79" ht="15.75" customHeight="1">
      <c r="C36" s="2" t="s">
        <v>117</v>
      </c>
      <c r="D36" t="s">
        <v>38</v>
      </c>
      <c r="F36" s="137">
        <f>F70</f>
        <v>0</v>
      </c>
      <c r="H36" s="147" t="s">
        <v>115</v>
      </c>
      <c r="J36" s="4"/>
      <c r="K36" s="55" t="s">
        <v>118</v>
      </c>
      <c r="N36" s="19" t="s">
        <v>38</v>
      </c>
      <c r="O36" s="52"/>
      <c r="P36" s="36">
        <f>SUM(F35:F37)</f>
        <v>0</v>
      </c>
      <c r="V36" s="57">
        <f t="shared" si="42"/>
        <v>52687</v>
      </c>
      <c r="W36" s="7">
        <v>20</v>
      </c>
      <c r="X36" s="269" t="str">
        <f t="shared" si="0"/>
        <v>維持管理・運営期間</v>
      </c>
      <c r="Y36" s="158">
        <f t="shared" si="1"/>
        <v>0</v>
      </c>
      <c r="Z36" s="156">
        <f t="shared" si="2"/>
        <v>0</v>
      </c>
      <c r="AA36" s="156">
        <f t="shared" si="3"/>
        <v>0</v>
      </c>
      <c r="AB36" s="156">
        <f t="shared" si="4"/>
        <v>0</v>
      </c>
      <c r="AC36" s="157">
        <f t="shared" si="5"/>
        <v>0</v>
      </c>
      <c r="AD36" s="158">
        <f t="shared" si="6"/>
        <v>0</v>
      </c>
      <c r="AE36" s="156">
        <f t="shared" si="7"/>
        <v>50</v>
      </c>
      <c r="AF36" s="156">
        <f t="shared" si="8"/>
        <v>10</v>
      </c>
      <c r="AG36" s="156">
        <f>IF(AND(SUM($AA$16:AA35)&gt;0,SUM($AG$16:AG35)&lt;$O$62,$W36&gt;=$O$65),$O$64,0)</f>
        <v>64.125</v>
      </c>
      <c r="AH36" s="220">
        <f>IF(SUM($AA$17:$AA35)&gt;0,($O$62-SUM($AG$17:$AG35))*$E$65,0)</f>
        <v>6.7331249999999994</v>
      </c>
      <c r="AI36" s="157">
        <f t="shared" si="9"/>
        <v>60</v>
      </c>
      <c r="AJ36" s="153">
        <f t="shared" si="10"/>
        <v>-60</v>
      </c>
      <c r="AK36" s="155">
        <f>(SUM($P$31,$P$51)-SUM($AU$17:AU35))*$O$109</f>
        <v>0</v>
      </c>
      <c r="AL36" s="160"/>
      <c r="AM36" s="154">
        <f t="shared" si="11"/>
        <v>-30.446778682112388</v>
      </c>
      <c r="AN36" s="161"/>
      <c r="AO36" s="152">
        <f t="shared" si="12"/>
        <v>0</v>
      </c>
      <c r="AP36" s="153">
        <f t="shared" si="13"/>
        <v>0</v>
      </c>
      <c r="AQ36" s="153">
        <f t="shared" si="14"/>
        <v>0</v>
      </c>
      <c r="AR36" s="156">
        <f t="shared" si="15"/>
        <v>0</v>
      </c>
      <c r="AS36" s="157">
        <f t="shared" si="16"/>
        <v>0</v>
      </c>
      <c r="AT36" s="156">
        <f t="shared" si="17"/>
        <v>0</v>
      </c>
      <c r="AU36" s="156">
        <f t="shared" si="18"/>
        <v>0</v>
      </c>
      <c r="AV36" s="156">
        <f t="shared" si="19"/>
        <v>0</v>
      </c>
      <c r="AW36" s="156">
        <f t="shared" si="20"/>
        <v>47.5</v>
      </c>
      <c r="AX36" s="156">
        <f t="shared" si="21"/>
        <v>6</v>
      </c>
      <c r="AY36" s="156">
        <f t="shared" si="22"/>
        <v>0</v>
      </c>
      <c r="AZ36" s="156">
        <f>IF(AND(SUM($AQ$16:AQ35)&gt;0,SUM($AZ$16:AZ35)&lt;$P$62,$W36&gt;=$P$65),$P$64,0)</f>
        <v>64.125</v>
      </c>
      <c r="BA36" s="156">
        <f>IF(SUM($AQ$17:$AQ35)&gt;0,($P$62-SUM($AZ$17:$AZ35))*$F$65,0)</f>
        <v>6.7331249999999994</v>
      </c>
      <c r="BB36" s="157">
        <f t="shared" si="23"/>
        <v>53.5</v>
      </c>
      <c r="BC36" s="153">
        <f t="shared" si="24"/>
        <v>-53.5</v>
      </c>
      <c r="BD36" s="154">
        <f t="shared" si="25"/>
        <v>-27.14837765821688</v>
      </c>
      <c r="BE36" s="48"/>
      <c r="BF36" s="46">
        <f t="shared" si="43"/>
        <v>0.50744631136853979</v>
      </c>
      <c r="BH36" s="152">
        <f t="shared" si="26"/>
        <v>0</v>
      </c>
      <c r="BI36" s="152">
        <f t="shared" si="27"/>
        <v>0</v>
      </c>
      <c r="BJ36" s="153">
        <f t="shared" si="28"/>
        <v>0</v>
      </c>
      <c r="BK36" s="153">
        <f t="shared" si="29"/>
        <v>47.5</v>
      </c>
      <c r="BL36" s="153">
        <f t="shared" si="30"/>
        <v>0</v>
      </c>
      <c r="BM36" s="153">
        <f t="shared" si="31"/>
        <v>0</v>
      </c>
      <c r="BN36" s="154">
        <f t="shared" si="32"/>
        <v>47.5</v>
      </c>
      <c r="BO36" s="153">
        <f t="shared" si="33"/>
        <v>0</v>
      </c>
      <c r="BP36" s="153">
        <f t="shared" si="34"/>
        <v>47.5</v>
      </c>
      <c r="BQ36" s="153">
        <f t="shared" si="35"/>
        <v>0</v>
      </c>
      <c r="BR36" s="153">
        <f t="shared" si="36"/>
        <v>0</v>
      </c>
      <c r="BS36" s="220">
        <f t="shared" si="37"/>
        <v>0</v>
      </c>
      <c r="BT36" s="153">
        <f t="shared" si="38"/>
        <v>0</v>
      </c>
      <c r="BU36" s="154">
        <f t="shared" si="39"/>
        <v>47.5</v>
      </c>
      <c r="BV36" s="154">
        <f t="shared" si="40"/>
        <v>0</v>
      </c>
      <c r="BW36" s="150"/>
      <c r="BX36" s="155">
        <f t="shared" si="41"/>
        <v>0</v>
      </c>
      <c r="BY36" s="273">
        <f t="shared" si="44"/>
        <v>0</v>
      </c>
      <c r="CA36"/>
    </row>
    <row r="37" spans="2:79" ht="15.75" customHeight="1">
      <c r="C37" s="2" t="s">
        <v>119</v>
      </c>
      <c r="D37" t="s">
        <v>38</v>
      </c>
      <c r="F37" s="107">
        <v>0</v>
      </c>
      <c r="H37" s="147" t="s">
        <v>115</v>
      </c>
      <c r="V37" s="57">
        <f t="shared" si="42"/>
        <v>53052</v>
      </c>
      <c r="W37" s="7">
        <v>21</v>
      </c>
      <c r="X37" s="269" t="str">
        <f t="shared" si="0"/>
        <v>維持管理・運営期間</v>
      </c>
      <c r="Y37" s="158">
        <f t="shared" si="1"/>
        <v>0</v>
      </c>
      <c r="Z37" s="156">
        <f t="shared" si="2"/>
        <v>0</v>
      </c>
      <c r="AA37" s="156">
        <f t="shared" si="3"/>
        <v>0</v>
      </c>
      <c r="AB37" s="156">
        <f t="shared" si="4"/>
        <v>0</v>
      </c>
      <c r="AC37" s="157">
        <f t="shared" si="5"/>
        <v>0</v>
      </c>
      <c r="AD37" s="158">
        <f t="shared" si="6"/>
        <v>0</v>
      </c>
      <c r="AE37" s="156">
        <f t="shared" si="7"/>
        <v>50</v>
      </c>
      <c r="AF37" s="156">
        <f t="shared" si="8"/>
        <v>10</v>
      </c>
      <c r="AG37" s="156">
        <f>IF(AND(SUM($AA$16:AA36)&gt;0,SUM($AG$16:AG36)&lt;$O$62,$W37&gt;=$O$65),$O$64,0)</f>
        <v>64.125</v>
      </c>
      <c r="AH37" s="220">
        <f>IF(SUM($AA$17:$AA36)&gt;0,($O$62-SUM($AG$17:$AG36))*$E$65,0)</f>
        <v>5.7712500000000002</v>
      </c>
      <c r="AI37" s="157">
        <f t="shared" si="9"/>
        <v>60</v>
      </c>
      <c r="AJ37" s="153">
        <f t="shared" si="10"/>
        <v>-60</v>
      </c>
      <c r="AK37" s="155">
        <f>(SUM($P$31,$P$51)-SUM($AU$17:AU36))*$O$109</f>
        <v>0</v>
      </c>
      <c r="AL37" s="160"/>
      <c r="AM37" s="154">
        <f t="shared" si="11"/>
        <v>-29.431395536116373</v>
      </c>
      <c r="AN37" s="161"/>
      <c r="AO37" s="152">
        <f t="shared" si="12"/>
        <v>0</v>
      </c>
      <c r="AP37" s="153">
        <f t="shared" si="13"/>
        <v>0</v>
      </c>
      <c r="AQ37" s="153">
        <f t="shared" si="14"/>
        <v>0</v>
      </c>
      <c r="AR37" s="156">
        <f t="shared" si="15"/>
        <v>0</v>
      </c>
      <c r="AS37" s="157">
        <f t="shared" si="16"/>
        <v>0</v>
      </c>
      <c r="AT37" s="156">
        <f t="shared" si="17"/>
        <v>0</v>
      </c>
      <c r="AU37" s="156">
        <f t="shared" si="18"/>
        <v>0</v>
      </c>
      <c r="AV37" s="156">
        <f t="shared" si="19"/>
        <v>0</v>
      </c>
      <c r="AW37" s="156">
        <f t="shared" si="20"/>
        <v>47.5</v>
      </c>
      <c r="AX37" s="156">
        <f t="shared" si="21"/>
        <v>6</v>
      </c>
      <c r="AY37" s="156">
        <f t="shared" si="22"/>
        <v>0</v>
      </c>
      <c r="AZ37" s="156">
        <f>IF(AND(SUM($AQ$16:AQ36)&gt;0,SUM($AZ$16:AZ36)&lt;$P$62,$W37&gt;=$P$65),$P$64,0)</f>
        <v>64.125</v>
      </c>
      <c r="BA37" s="156">
        <f>IF(SUM($AQ$17:$AQ36)&gt;0,($P$62-SUM($AZ$17:$AZ36))*$F$65,0)</f>
        <v>5.7712500000000002</v>
      </c>
      <c r="BB37" s="157">
        <f t="shared" si="23"/>
        <v>53.5</v>
      </c>
      <c r="BC37" s="153">
        <f t="shared" si="24"/>
        <v>-53.5</v>
      </c>
      <c r="BD37" s="154">
        <f t="shared" si="25"/>
        <v>-26.242994353037098</v>
      </c>
      <c r="BE37" s="48"/>
      <c r="BF37" s="46">
        <f t="shared" si="43"/>
        <v>0.49052325893527288</v>
      </c>
      <c r="BH37" s="152">
        <f t="shared" si="26"/>
        <v>0</v>
      </c>
      <c r="BI37" s="152">
        <f t="shared" si="27"/>
        <v>0</v>
      </c>
      <c r="BJ37" s="153">
        <f t="shared" si="28"/>
        <v>0</v>
      </c>
      <c r="BK37" s="153">
        <f t="shared" si="29"/>
        <v>47.5</v>
      </c>
      <c r="BL37" s="153">
        <f t="shared" si="30"/>
        <v>0</v>
      </c>
      <c r="BM37" s="153">
        <f t="shared" si="31"/>
        <v>0</v>
      </c>
      <c r="BN37" s="154">
        <f t="shared" si="32"/>
        <v>47.5</v>
      </c>
      <c r="BO37" s="153">
        <f t="shared" si="33"/>
        <v>0</v>
      </c>
      <c r="BP37" s="153">
        <f t="shared" si="34"/>
        <v>47.5</v>
      </c>
      <c r="BQ37" s="153">
        <f t="shared" si="35"/>
        <v>0</v>
      </c>
      <c r="BR37" s="153">
        <f t="shared" si="36"/>
        <v>0</v>
      </c>
      <c r="BS37" s="220">
        <f t="shared" si="37"/>
        <v>0</v>
      </c>
      <c r="BT37" s="153">
        <f t="shared" si="38"/>
        <v>0</v>
      </c>
      <c r="BU37" s="154">
        <f t="shared" si="39"/>
        <v>47.5</v>
      </c>
      <c r="BV37" s="154">
        <f t="shared" si="40"/>
        <v>0</v>
      </c>
      <c r="BW37" s="150"/>
      <c r="BX37" s="155">
        <f t="shared" si="41"/>
        <v>0</v>
      </c>
      <c r="BY37" s="273">
        <f t="shared" si="44"/>
        <v>0</v>
      </c>
      <c r="CA37"/>
    </row>
    <row r="38" spans="2:79" ht="15.75" customHeight="1">
      <c r="C38" s="98"/>
      <c r="D38" s="100" t="s">
        <v>120</v>
      </c>
      <c r="E38" s="99"/>
      <c r="F38" s="97">
        <f>BY15</f>
        <v>0</v>
      </c>
      <c r="V38" s="57">
        <f t="shared" si="42"/>
        <v>53417</v>
      </c>
      <c r="W38" s="7">
        <v>22</v>
      </c>
      <c r="X38" s="269" t="str">
        <f t="shared" si="0"/>
        <v>維持管理・運営期間</v>
      </c>
      <c r="Y38" s="158">
        <f t="shared" si="1"/>
        <v>0</v>
      </c>
      <c r="Z38" s="156">
        <f t="shared" si="2"/>
        <v>0</v>
      </c>
      <c r="AA38" s="156">
        <f t="shared" si="3"/>
        <v>0</v>
      </c>
      <c r="AB38" s="156">
        <f t="shared" si="4"/>
        <v>0</v>
      </c>
      <c r="AC38" s="157">
        <f t="shared" si="5"/>
        <v>0</v>
      </c>
      <c r="AD38" s="158">
        <f t="shared" si="6"/>
        <v>0</v>
      </c>
      <c r="AE38" s="156">
        <f t="shared" si="7"/>
        <v>50</v>
      </c>
      <c r="AF38" s="156">
        <f t="shared" si="8"/>
        <v>10</v>
      </c>
      <c r="AG38" s="156">
        <f>IF(AND(SUM($AA$16:AA37)&gt;0,SUM($AG$16:AG37)&lt;$O$62,$W38&gt;=$O$65),$O$64,0)</f>
        <v>64.125</v>
      </c>
      <c r="AH38" s="220">
        <f>IF(SUM($AA$17:$AA37)&gt;0,($O$62-SUM($AG$17:$AG37))*$E$65,0)</f>
        <v>4.8093750000000002</v>
      </c>
      <c r="AI38" s="157">
        <f t="shared" si="9"/>
        <v>60</v>
      </c>
      <c r="AJ38" s="153">
        <f t="shared" si="10"/>
        <v>-60</v>
      </c>
      <c r="AK38" s="155">
        <f>(SUM($P$31,$P$51)-SUM($AU$17:AU37))*$O$109</f>
        <v>0</v>
      </c>
      <c r="AL38" s="160"/>
      <c r="AM38" s="154">
        <f t="shared" si="11"/>
        <v>-28.449874853664934</v>
      </c>
      <c r="AN38" s="161"/>
      <c r="AO38" s="152">
        <f t="shared" si="12"/>
        <v>0</v>
      </c>
      <c r="AP38" s="153">
        <f t="shared" si="13"/>
        <v>0</v>
      </c>
      <c r="AQ38" s="153">
        <f t="shared" si="14"/>
        <v>0</v>
      </c>
      <c r="AR38" s="156">
        <f t="shared" si="15"/>
        <v>0</v>
      </c>
      <c r="AS38" s="157">
        <f t="shared" si="16"/>
        <v>0</v>
      </c>
      <c r="AT38" s="156">
        <f t="shared" si="17"/>
        <v>0</v>
      </c>
      <c r="AU38" s="156">
        <f t="shared" si="18"/>
        <v>0</v>
      </c>
      <c r="AV38" s="156">
        <f t="shared" si="19"/>
        <v>0</v>
      </c>
      <c r="AW38" s="156">
        <f t="shared" si="20"/>
        <v>47.5</v>
      </c>
      <c r="AX38" s="156">
        <f t="shared" si="21"/>
        <v>6</v>
      </c>
      <c r="AY38" s="156">
        <f t="shared" si="22"/>
        <v>0</v>
      </c>
      <c r="AZ38" s="156">
        <f>IF(AND(SUM($AQ$16:AQ37)&gt;0,SUM($AZ$16:AZ37)&lt;$P$62,$W38&gt;=$P$65),$P$64,0)</f>
        <v>64.125</v>
      </c>
      <c r="BA38" s="156">
        <f>IF(SUM($AQ$17:$AQ37)&gt;0,($P$62-SUM($AZ$17:$AZ37))*$F$65,0)</f>
        <v>4.8093750000000002</v>
      </c>
      <c r="BB38" s="157">
        <f t="shared" si="23"/>
        <v>53.5</v>
      </c>
      <c r="BC38" s="153">
        <f t="shared" si="24"/>
        <v>-53.5</v>
      </c>
      <c r="BD38" s="154">
        <f t="shared" si="25"/>
        <v>-25.36780507785123</v>
      </c>
      <c r="BE38" s="48"/>
      <c r="BF38" s="46">
        <f t="shared" si="43"/>
        <v>0.47416458089441554</v>
      </c>
      <c r="BH38" s="152">
        <f t="shared" si="26"/>
        <v>0</v>
      </c>
      <c r="BI38" s="152">
        <f t="shared" si="27"/>
        <v>0</v>
      </c>
      <c r="BJ38" s="153">
        <f t="shared" si="28"/>
        <v>0</v>
      </c>
      <c r="BK38" s="153">
        <f t="shared" si="29"/>
        <v>47.5</v>
      </c>
      <c r="BL38" s="153">
        <f t="shared" si="30"/>
        <v>0</v>
      </c>
      <c r="BM38" s="153">
        <f t="shared" si="31"/>
        <v>0</v>
      </c>
      <c r="BN38" s="154">
        <f t="shared" si="32"/>
        <v>47.5</v>
      </c>
      <c r="BO38" s="153">
        <f t="shared" si="33"/>
        <v>0</v>
      </c>
      <c r="BP38" s="153">
        <f t="shared" si="34"/>
        <v>47.5</v>
      </c>
      <c r="BQ38" s="153">
        <f t="shared" si="35"/>
        <v>0</v>
      </c>
      <c r="BR38" s="153">
        <f t="shared" si="36"/>
        <v>0</v>
      </c>
      <c r="BS38" s="220">
        <f t="shared" si="37"/>
        <v>0</v>
      </c>
      <c r="BT38" s="153">
        <f t="shared" si="38"/>
        <v>0</v>
      </c>
      <c r="BU38" s="154">
        <f t="shared" si="39"/>
        <v>47.5</v>
      </c>
      <c r="BV38" s="154">
        <f t="shared" si="40"/>
        <v>0</v>
      </c>
      <c r="BW38" s="150"/>
      <c r="BX38" s="155">
        <f t="shared" si="41"/>
        <v>0</v>
      </c>
      <c r="BY38" s="273">
        <f t="shared" si="44"/>
        <v>0</v>
      </c>
      <c r="CA38"/>
    </row>
    <row r="39" spans="2:79" ht="15.75" customHeight="1">
      <c r="V39" s="57">
        <f t="shared" si="42"/>
        <v>53782</v>
      </c>
      <c r="W39" s="7">
        <v>23</v>
      </c>
      <c r="X39" s="269" t="str">
        <f t="shared" si="0"/>
        <v>維持管理・運営期間</v>
      </c>
      <c r="Y39" s="158">
        <f t="shared" si="1"/>
        <v>0</v>
      </c>
      <c r="Z39" s="156">
        <f t="shared" si="2"/>
        <v>0</v>
      </c>
      <c r="AA39" s="156">
        <f t="shared" si="3"/>
        <v>0</v>
      </c>
      <c r="AB39" s="156">
        <f t="shared" si="4"/>
        <v>0</v>
      </c>
      <c r="AC39" s="157">
        <f t="shared" si="5"/>
        <v>0</v>
      </c>
      <c r="AD39" s="158">
        <f t="shared" si="6"/>
        <v>0</v>
      </c>
      <c r="AE39" s="156">
        <f t="shared" si="7"/>
        <v>50</v>
      </c>
      <c r="AF39" s="156">
        <f t="shared" si="8"/>
        <v>10</v>
      </c>
      <c r="AG39" s="156">
        <f>IF(AND(SUM($AA$16:AA38)&gt;0,SUM($AG$16:AG38)&lt;$O$62,$W39&gt;=$O$65),$O$64,0)</f>
        <v>64.125</v>
      </c>
      <c r="AH39" s="220">
        <f>IF(SUM($AA$17:$AA38)&gt;0,($O$62-SUM($AG$17:$AG38))*$E$65,0)</f>
        <v>3.8474999999999997</v>
      </c>
      <c r="AI39" s="157">
        <f t="shared" si="9"/>
        <v>60</v>
      </c>
      <c r="AJ39" s="153">
        <f t="shared" si="10"/>
        <v>-60</v>
      </c>
      <c r="AK39" s="155">
        <f>(SUM($P$31,$P$51)-SUM($AU$17:AU38))*$O$109</f>
        <v>0</v>
      </c>
      <c r="AL39" s="160"/>
      <c r="AM39" s="154">
        <f t="shared" si="11"/>
        <v>-27.50108734042043</v>
      </c>
      <c r="AN39" s="161"/>
      <c r="AO39" s="152">
        <f t="shared" si="12"/>
        <v>0</v>
      </c>
      <c r="AP39" s="153">
        <f t="shared" si="13"/>
        <v>0</v>
      </c>
      <c r="AQ39" s="153">
        <f t="shared" si="14"/>
        <v>0</v>
      </c>
      <c r="AR39" s="156">
        <f t="shared" si="15"/>
        <v>0</v>
      </c>
      <c r="AS39" s="157">
        <f t="shared" si="16"/>
        <v>0</v>
      </c>
      <c r="AT39" s="156">
        <f t="shared" si="17"/>
        <v>0</v>
      </c>
      <c r="AU39" s="156">
        <f t="shared" si="18"/>
        <v>0</v>
      </c>
      <c r="AV39" s="156">
        <f t="shared" si="19"/>
        <v>0</v>
      </c>
      <c r="AW39" s="156">
        <f t="shared" si="20"/>
        <v>47.5</v>
      </c>
      <c r="AX39" s="156">
        <f t="shared" si="21"/>
        <v>6</v>
      </c>
      <c r="AY39" s="156">
        <f t="shared" si="22"/>
        <v>0</v>
      </c>
      <c r="AZ39" s="156">
        <f>IF(AND(SUM($AQ$16:AQ38)&gt;0,SUM($AZ$16:AZ38)&lt;$P$62,$W39&gt;=$P$65),$P$64,0)</f>
        <v>64.125</v>
      </c>
      <c r="BA39" s="156">
        <f>IF(SUM($AQ$17:$AQ38)&gt;0,($P$62-SUM($AZ$17:$AZ38))*$F$65,0)</f>
        <v>3.8474999999999997</v>
      </c>
      <c r="BB39" s="157">
        <f t="shared" si="23"/>
        <v>53.5</v>
      </c>
      <c r="BC39" s="153">
        <f t="shared" si="24"/>
        <v>-53.5</v>
      </c>
      <c r="BD39" s="154">
        <f t="shared" si="25"/>
        <v>-24.52180287854155</v>
      </c>
      <c r="BE39" s="48"/>
      <c r="BF39" s="46">
        <f t="shared" si="43"/>
        <v>0.4583514556736738</v>
      </c>
      <c r="BH39" s="152">
        <f t="shared" si="26"/>
        <v>0</v>
      </c>
      <c r="BI39" s="152">
        <f t="shared" si="27"/>
        <v>0</v>
      </c>
      <c r="BJ39" s="153">
        <f t="shared" si="28"/>
        <v>0</v>
      </c>
      <c r="BK39" s="153">
        <f t="shared" si="29"/>
        <v>47.5</v>
      </c>
      <c r="BL39" s="153">
        <f t="shared" si="30"/>
        <v>0</v>
      </c>
      <c r="BM39" s="153">
        <f t="shared" si="31"/>
        <v>0</v>
      </c>
      <c r="BN39" s="154">
        <f t="shared" si="32"/>
        <v>47.5</v>
      </c>
      <c r="BO39" s="153">
        <f t="shared" si="33"/>
        <v>0</v>
      </c>
      <c r="BP39" s="153">
        <f t="shared" si="34"/>
        <v>47.5</v>
      </c>
      <c r="BQ39" s="153">
        <f t="shared" si="35"/>
        <v>0</v>
      </c>
      <c r="BR39" s="153">
        <f t="shared" si="36"/>
        <v>0</v>
      </c>
      <c r="BS39" s="220">
        <f t="shared" si="37"/>
        <v>0</v>
      </c>
      <c r="BT39" s="153">
        <f t="shared" si="38"/>
        <v>0</v>
      </c>
      <c r="BU39" s="154">
        <f t="shared" si="39"/>
        <v>47.5</v>
      </c>
      <c r="BV39" s="154">
        <f t="shared" si="40"/>
        <v>0</v>
      </c>
      <c r="BW39" s="150"/>
      <c r="BX39" s="155">
        <f t="shared" si="41"/>
        <v>0</v>
      </c>
      <c r="BY39" s="273">
        <f t="shared" si="44"/>
        <v>0</v>
      </c>
      <c r="CA39"/>
    </row>
    <row r="40" spans="2:79" ht="15.75" customHeight="1">
      <c r="B40" t="s">
        <v>121</v>
      </c>
      <c r="D40" t="s">
        <v>7</v>
      </c>
      <c r="F40" s="276">
        <f>SUM(F41:F42)</f>
        <v>50</v>
      </c>
      <c r="J40" s="4" t="s">
        <v>123</v>
      </c>
      <c r="V40" s="57">
        <f t="shared" si="42"/>
        <v>54148</v>
      </c>
      <c r="W40" s="26">
        <v>24</v>
      </c>
      <c r="X40" s="269" t="str">
        <f t="shared" si="0"/>
        <v>-</v>
      </c>
      <c r="Y40" s="158">
        <f t="shared" si="1"/>
        <v>0</v>
      </c>
      <c r="Z40" s="156">
        <f t="shared" si="2"/>
        <v>0</v>
      </c>
      <c r="AA40" s="156">
        <f t="shared" si="3"/>
        <v>0</v>
      </c>
      <c r="AB40" s="156">
        <f t="shared" si="4"/>
        <v>0</v>
      </c>
      <c r="AC40" s="157">
        <f t="shared" si="5"/>
        <v>0</v>
      </c>
      <c r="AD40" s="158">
        <f t="shared" si="6"/>
        <v>0</v>
      </c>
      <c r="AE40" s="156">
        <f t="shared" si="7"/>
        <v>0</v>
      </c>
      <c r="AF40" s="156">
        <f t="shared" si="8"/>
        <v>0</v>
      </c>
      <c r="AG40" s="156">
        <f>IF(AND(SUM($AA$16:AA39)&gt;0,SUM($AG$16:AG39)&lt;$O$62,$W40&gt;=$O$65),$O$64,0)</f>
        <v>64.125</v>
      </c>
      <c r="AH40" s="220">
        <f>IF(SUM($AA$17:$AA39)&gt;0,($O$62-SUM($AG$17:$AG39))*$E$65,0)</f>
        <v>2.8856250000000001</v>
      </c>
      <c r="AI40" s="157">
        <f t="shared" si="9"/>
        <v>0</v>
      </c>
      <c r="AJ40" s="153">
        <f t="shared" si="10"/>
        <v>0</v>
      </c>
      <c r="AK40" s="155">
        <f>(SUM($P$31,$P$51)-SUM($AU$17:AU39))*$O$109</f>
        <v>0</v>
      </c>
      <c r="AL40" s="160"/>
      <c r="AM40" s="154">
        <f t="shared" si="11"/>
        <v>0</v>
      </c>
      <c r="AN40" s="161"/>
      <c r="AO40" s="152">
        <f t="shared" si="12"/>
        <v>0</v>
      </c>
      <c r="AP40" s="153">
        <f t="shared" si="13"/>
        <v>0</v>
      </c>
      <c r="AQ40" s="153">
        <f t="shared" si="14"/>
        <v>0</v>
      </c>
      <c r="AR40" s="156">
        <f t="shared" si="15"/>
        <v>0</v>
      </c>
      <c r="AS40" s="157">
        <f t="shared" si="16"/>
        <v>0</v>
      </c>
      <c r="AT40" s="156">
        <f t="shared" si="17"/>
        <v>0</v>
      </c>
      <c r="AU40" s="156">
        <f t="shared" si="18"/>
        <v>0</v>
      </c>
      <c r="AV40" s="156">
        <f t="shared" si="19"/>
        <v>0</v>
      </c>
      <c r="AW40" s="156">
        <f t="shared" si="20"/>
        <v>0</v>
      </c>
      <c r="AX40" s="156">
        <f t="shared" si="21"/>
        <v>0</v>
      </c>
      <c r="AY40" s="156">
        <f t="shared" si="22"/>
        <v>0</v>
      </c>
      <c r="AZ40" s="156">
        <f>IF(AND(SUM($AQ$16:AQ39)&gt;0,SUM($AZ$16:AZ39)&lt;$P$62,$W40&gt;=$P$65),$P$64,0)</f>
        <v>64.125</v>
      </c>
      <c r="BA40" s="156">
        <f>IF(SUM($AQ$17:$AQ39)&gt;0,($P$62-SUM($AZ$17:$AZ39))*$F$65,0)</f>
        <v>2.8856250000000001</v>
      </c>
      <c r="BB40" s="157">
        <f t="shared" si="23"/>
        <v>0</v>
      </c>
      <c r="BC40" s="153">
        <f t="shared" si="24"/>
        <v>0</v>
      </c>
      <c r="BD40" s="154">
        <f t="shared" si="25"/>
        <v>0</v>
      </c>
      <c r="BE40" s="48"/>
      <c r="BF40" s="46">
        <f t="shared" si="43"/>
        <v>0.44306568938972818</v>
      </c>
      <c r="BH40" s="152">
        <f t="shared" si="26"/>
        <v>0</v>
      </c>
      <c r="BI40" s="152">
        <f t="shared" si="27"/>
        <v>0</v>
      </c>
      <c r="BJ40" s="153">
        <f t="shared" si="28"/>
        <v>0</v>
      </c>
      <c r="BK40" s="153">
        <f t="shared" si="29"/>
        <v>0</v>
      </c>
      <c r="BL40" s="153">
        <f t="shared" si="30"/>
        <v>0</v>
      </c>
      <c r="BM40" s="153">
        <f t="shared" si="31"/>
        <v>0</v>
      </c>
      <c r="BN40" s="154">
        <f t="shared" si="32"/>
        <v>0</v>
      </c>
      <c r="BO40" s="153">
        <f t="shared" si="33"/>
        <v>0</v>
      </c>
      <c r="BP40" s="153">
        <f t="shared" si="34"/>
        <v>0</v>
      </c>
      <c r="BQ40" s="153">
        <f t="shared" si="35"/>
        <v>0</v>
      </c>
      <c r="BR40" s="153">
        <f t="shared" si="36"/>
        <v>0</v>
      </c>
      <c r="BS40" s="220">
        <f t="shared" si="37"/>
        <v>0</v>
      </c>
      <c r="BT40" s="153">
        <f t="shared" si="38"/>
        <v>0</v>
      </c>
      <c r="BU40" s="154">
        <f t="shared" si="39"/>
        <v>0</v>
      </c>
      <c r="BV40" s="154">
        <f t="shared" si="40"/>
        <v>0</v>
      </c>
      <c r="BW40" s="150"/>
      <c r="BX40" s="155">
        <f t="shared" si="41"/>
        <v>0</v>
      </c>
      <c r="BY40" s="273">
        <f t="shared" si="44"/>
        <v>0</v>
      </c>
      <c r="CA40"/>
    </row>
    <row r="41" spans="2:79" ht="15.75" customHeight="1">
      <c r="C41" s="2" t="s">
        <v>105</v>
      </c>
      <c r="D41" t="s">
        <v>7</v>
      </c>
      <c r="F41" s="277">
        <f>事業費用概算!G27</f>
        <v>0</v>
      </c>
      <c r="H41" s="71"/>
      <c r="K41" t="s">
        <v>124</v>
      </c>
      <c r="N41" s="19" t="s">
        <v>7</v>
      </c>
      <c r="O41" s="21">
        <f>F40</f>
        <v>50</v>
      </c>
      <c r="P41" s="68">
        <f>F40*(1-F52)</f>
        <v>47.5</v>
      </c>
      <c r="Q41" t="s">
        <v>106</v>
      </c>
      <c r="V41" s="57">
        <f t="shared" si="42"/>
        <v>54513</v>
      </c>
      <c r="W41" s="26">
        <v>25</v>
      </c>
      <c r="X41" s="269" t="str">
        <f t="shared" si="0"/>
        <v>-</v>
      </c>
      <c r="Y41" s="158">
        <f t="shared" si="1"/>
        <v>0</v>
      </c>
      <c r="Z41" s="156">
        <f t="shared" si="2"/>
        <v>0</v>
      </c>
      <c r="AA41" s="156">
        <f t="shared" si="3"/>
        <v>0</v>
      </c>
      <c r="AB41" s="156">
        <f t="shared" si="4"/>
        <v>0</v>
      </c>
      <c r="AC41" s="157">
        <f t="shared" si="5"/>
        <v>0</v>
      </c>
      <c r="AD41" s="158">
        <f t="shared" si="6"/>
        <v>0</v>
      </c>
      <c r="AE41" s="156">
        <f t="shared" si="7"/>
        <v>0</v>
      </c>
      <c r="AF41" s="156">
        <f t="shared" si="8"/>
        <v>0</v>
      </c>
      <c r="AG41" s="156">
        <f>IF(AND(SUM($AA$16:AA40)&gt;0,SUM($AG$16:AG40)&lt;$O$62,$W41&gt;=$O$65),$O$64,0)</f>
        <v>64.125</v>
      </c>
      <c r="AH41" s="220">
        <f>IF(SUM($AA$17:$AA40)&gt;0,($O$62-SUM($AG$17:$AG40))*$E$65,0)</f>
        <v>1.9237499999999998</v>
      </c>
      <c r="AI41" s="157">
        <f t="shared" si="9"/>
        <v>0</v>
      </c>
      <c r="AJ41" s="153">
        <f t="shared" si="10"/>
        <v>0</v>
      </c>
      <c r="AK41" s="155">
        <f>(SUM($P$31,$P$51)-SUM($AU$17:AU40))*$O$109</f>
        <v>0</v>
      </c>
      <c r="AL41" s="160"/>
      <c r="AM41" s="154">
        <f t="shared" si="11"/>
        <v>0</v>
      </c>
      <c r="AN41" s="161"/>
      <c r="AO41" s="152">
        <f t="shared" si="12"/>
        <v>0</v>
      </c>
      <c r="AP41" s="153">
        <f t="shared" si="13"/>
        <v>0</v>
      </c>
      <c r="AQ41" s="153">
        <f t="shared" si="14"/>
        <v>0</v>
      </c>
      <c r="AR41" s="156">
        <f t="shared" si="15"/>
        <v>0</v>
      </c>
      <c r="AS41" s="157">
        <f t="shared" si="16"/>
        <v>0</v>
      </c>
      <c r="AT41" s="156">
        <f t="shared" si="17"/>
        <v>0</v>
      </c>
      <c r="AU41" s="156">
        <f t="shared" si="18"/>
        <v>0</v>
      </c>
      <c r="AV41" s="156">
        <f t="shared" si="19"/>
        <v>0</v>
      </c>
      <c r="AW41" s="156">
        <f t="shared" si="20"/>
        <v>0</v>
      </c>
      <c r="AX41" s="156">
        <f t="shared" si="21"/>
        <v>0</v>
      </c>
      <c r="AY41" s="156">
        <f t="shared" si="22"/>
        <v>0</v>
      </c>
      <c r="AZ41" s="156">
        <f>IF(AND(SUM($AQ$16:AQ40)&gt;0,SUM($AZ$16:AZ40)&lt;$P$62,$W41&gt;=$P$65),$P$64,0)</f>
        <v>64.125</v>
      </c>
      <c r="BA41" s="156">
        <f>IF(SUM($AQ$17:$AQ40)&gt;0,($P$62-SUM($AZ$17:$AZ40))*$F$65,0)</f>
        <v>1.9237499999999998</v>
      </c>
      <c r="BB41" s="157">
        <f t="shared" si="23"/>
        <v>0</v>
      </c>
      <c r="BC41" s="153">
        <f t="shared" si="24"/>
        <v>0</v>
      </c>
      <c r="BD41" s="154">
        <f t="shared" si="25"/>
        <v>0</v>
      </c>
      <c r="BE41" s="48"/>
      <c r="BF41" s="46">
        <f t="shared" si="43"/>
        <v>0.42828969491515534</v>
      </c>
      <c r="BH41" s="152">
        <f t="shared" si="26"/>
        <v>0</v>
      </c>
      <c r="BI41" s="152">
        <f t="shared" si="27"/>
        <v>0</v>
      </c>
      <c r="BJ41" s="153">
        <f t="shared" si="28"/>
        <v>0</v>
      </c>
      <c r="BK41" s="153">
        <f t="shared" si="29"/>
        <v>0</v>
      </c>
      <c r="BL41" s="153">
        <f t="shared" si="30"/>
        <v>0</v>
      </c>
      <c r="BM41" s="153">
        <f t="shared" si="31"/>
        <v>0</v>
      </c>
      <c r="BN41" s="154">
        <f t="shared" si="32"/>
        <v>0</v>
      </c>
      <c r="BO41" s="153">
        <f t="shared" si="33"/>
        <v>0</v>
      </c>
      <c r="BP41" s="153">
        <f t="shared" si="34"/>
        <v>0</v>
      </c>
      <c r="BQ41" s="153">
        <f t="shared" si="35"/>
        <v>0</v>
      </c>
      <c r="BR41" s="153">
        <f t="shared" si="36"/>
        <v>0</v>
      </c>
      <c r="BS41" s="220">
        <f t="shared" si="37"/>
        <v>0</v>
      </c>
      <c r="BT41" s="153">
        <f t="shared" si="38"/>
        <v>0</v>
      </c>
      <c r="BU41" s="154">
        <f t="shared" si="39"/>
        <v>0</v>
      </c>
      <c r="BV41" s="154">
        <f t="shared" si="40"/>
        <v>0</v>
      </c>
      <c r="BW41" s="150"/>
      <c r="BX41" s="155">
        <f t="shared" si="41"/>
        <v>0</v>
      </c>
      <c r="BY41" s="273">
        <f t="shared" si="44"/>
        <v>0</v>
      </c>
      <c r="CA41"/>
    </row>
    <row r="42" spans="2:79" ht="15.75" customHeight="1">
      <c r="C42" s="2" t="s">
        <v>125</v>
      </c>
      <c r="D42" t="s">
        <v>7</v>
      </c>
      <c r="F42" s="277">
        <f>事業費用概算!G28</f>
        <v>50</v>
      </c>
      <c r="K42" t="s">
        <v>126</v>
      </c>
      <c r="N42" s="19" t="s">
        <v>7</v>
      </c>
      <c r="O42" s="52"/>
      <c r="P42" s="68">
        <f>F56</f>
        <v>0</v>
      </c>
      <c r="Q42" t="s">
        <v>127</v>
      </c>
      <c r="V42" s="57">
        <f t="shared" si="42"/>
        <v>54878</v>
      </c>
      <c r="W42" s="26">
        <v>26</v>
      </c>
      <c r="X42" s="269" t="str">
        <f t="shared" si="0"/>
        <v>-</v>
      </c>
      <c r="Y42" s="158">
        <f t="shared" si="1"/>
        <v>0</v>
      </c>
      <c r="Z42" s="156">
        <f t="shared" si="2"/>
        <v>0</v>
      </c>
      <c r="AA42" s="156">
        <f t="shared" si="3"/>
        <v>0</v>
      </c>
      <c r="AB42" s="156">
        <f t="shared" si="4"/>
        <v>0</v>
      </c>
      <c r="AC42" s="157">
        <f t="shared" si="5"/>
        <v>0</v>
      </c>
      <c r="AD42" s="158">
        <f t="shared" si="6"/>
        <v>0</v>
      </c>
      <c r="AE42" s="156">
        <f t="shared" si="7"/>
        <v>0</v>
      </c>
      <c r="AF42" s="156">
        <f t="shared" si="8"/>
        <v>0</v>
      </c>
      <c r="AG42" s="156">
        <f>IF(AND(SUM($AA$16:AA41)&gt;0,SUM($AG$16:AG41)&lt;$O$62,$W42&gt;=$O$65),$O$64,0)</f>
        <v>64.125</v>
      </c>
      <c r="AH42" s="220">
        <f>IF(SUM($AA$17:$AA41)&gt;0,($O$62-SUM($AG$17:$AG41))*$E$65,0)</f>
        <v>0.96187499999999992</v>
      </c>
      <c r="AI42" s="157">
        <f t="shared" si="9"/>
        <v>0</v>
      </c>
      <c r="AJ42" s="153">
        <f t="shared" si="10"/>
        <v>0</v>
      </c>
      <c r="AK42" s="155">
        <f>(SUM($P$31,$P$51)-SUM($AU$17:AU41))*$O$109</f>
        <v>0</v>
      </c>
      <c r="AL42" s="160"/>
      <c r="AM42" s="154">
        <f t="shared" si="11"/>
        <v>0</v>
      </c>
      <c r="AN42" s="161"/>
      <c r="AO42" s="152">
        <f t="shared" si="12"/>
        <v>0</v>
      </c>
      <c r="AP42" s="153">
        <f t="shared" si="13"/>
        <v>0</v>
      </c>
      <c r="AQ42" s="153">
        <f t="shared" si="14"/>
        <v>0</v>
      </c>
      <c r="AR42" s="156">
        <f t="shared" si="15"/>
        <v>0</v>
      </c>
      <c r="AS42" s="157">
        <f t="shared" si="16"/>
        <v>0</v>
      </c>
      <c r="AT42" s="156">
        <f t="shared" si="17"/>
        <v>0</v>
      </c>
      <c r="AU42" s="156">
        <f t="shared" si="18"/>
        <v>0</v>
      </c>
      <c r="AV42" s="156">
        <f t="shared" si="19"/>
        <v>0</v>
      </c>
      <c r="AW42" s="156">
        <f t="shared" si="20"/>
        <v>0</v>
      </c>
      <c r="AX42" s="156">
        <f t="shared" si="21"/>
        <v>0</v>
      </c>
      <c r="AY42" s="156">
        <f t="shared" si="22"/>
        <v>0</v>
      </c>
      <c r="AZ42" s="156">
        <f>IF(AND(SUM($AQ$16:AQ41)&gt;0,SUM($AZ$16:AZ41)&lt;$P$62,$W42&gt;=$P$65),$P$64,0)</f>
        <v>64.125</v>
      </c>
      <c r="BA42" s="156">
        <f>IF(SUM($AQ$17:$AQ41)&gt;0,($P$62-SUM($AZ$17:$AZ41))*$F$65,0)</f>
        <v>0.96187499999999992</v>
      </c>
      <c r="BB42" s="157">
        <f t="shared" si="23"/>
        <v>0</v>
      </c>
      <c r="BC42" s="153">
        <f t="shared" si="24"/>
        <v>0</v>
      </c>
      <c r="BD42" s="154">
        <f t="shared" si="25"/>
        <v>0</v>
      </c>
      <c r="BE42" s="48"/>
      <c r="BF42" s="46">
        <f t="shared" si="43"/>
        <v>0.41400647164345611</v>
      </c>
      <c r="BH42" s="152">
        <f t="shared" si="26"/>
        <v>0</v>
      </c>
      <c r="BI42" s="152">
        <f t="shared" si="27"/>
        <v>0</v>
      </c>
      <c r="BJ42" s="153">
        <f t="shared" si="28"/>
        <v>0</v>
      </c>
      <c r="BK42" s="153">
        <f t="shared" si="29"/>
        <v>0</v>
      </c>
      <c r="BL42" s="153">
        <f t="shared" si="30"/>
        <v>0</v>
      </c>
      <c r="BM42" s="153">
        <f t="shared" si="31"/>
        <v>0</v>
      </c>
      <c r="BN42" s="154">
        <f t="shared" si="32"/>
        <v>0</v>
      </c>
      <c r="BO42" s="153">
        <f t="shared" si="33"/>
        <v>0</v>
      </c>
      <c r="BP42" s="153">
        <f t="shared" si="34"/>
        <v>0</v>
      </c>
      <c r="BQ42" s="153">
        <f t="shared" si="35"/>
        <v>0</v>
      </c>
      <c r="BR42" s="153">
        <f t="shared" si="36"/>
        <v>0</v>
      </c>
      <c r="BS42" s="220">
        <f t="shared" si="37"/>
        <v>0</v>
      </c>
      <c r="BT42" s="153">
        <f t="shared" si="38"/>
        <v>0</v>
      </c>
      <c r="BU42" s="154">
        <f t="shared" si="39"/>
        <v>0</v>
      </c>
      <c r="BV42" s="154">
        <f t="shared" si="40"/>
        <v>0</v>
      </c>
      <c r="BW42" s="150"/>
      <c r="BX42" s="155">
        <f t="shared" si="41"/>
        <v>0</v>
      </c>
      <c r="BY42" s="273">
        <f t="shared" si="44"/>
        <v>0</v>
      </c>
      <c r="CA42"/>
    </row>
    <row r="43" spans="2:79" ht="15.75" customHeight="1">
      <c r="B43" t="s">
        <v>128</v>
      </c>
      <c r="E43" s="19" t="s">
        <v>2</v>
      </c>
      <c r="F43" s="19" t="s">
        <v>50</v>
      </c>
      <c r="K43" t="s">
        <v>129</v>
      </c>
      <c r="N43" s="19" t="s">
        <v>7</v>
      </c>
      <c r="O43" s="68">
        <f>O41-O42</f>
        <v>50</v>
      </c>
      <c r="P43" s="68">
        <f>P41-P42</f>
        <v>47.5</v>
      </c>
      <c r="V43" s="57">
        <f t="shared" si="42"/>
        <v>55243</v>
      </c>
      <c r="W43" s="26">
        <v>27</v>
      </c>
      <c r="X43" s="269" t="str">
        <f t="shared" si="0"/>
        <v>-</v>
      </c>
      <c r="Y43" s="158">
        <f t="shared" si="1"/>
        <v>0</v>
      </c>
      <c r="Z43" s="156">
        <f t="shared" si="2"/>
        <v>0</v>
      </c>
      <c r="AA43" s="156">
        <f t="shared" si="3"/>
        <v>0</v>
      </c>
      <c r="AB43" s="156">
        <f t="shared" si="4"/>
        <v>0</v>
      </c>
      <c r="AC43" s="157">
        <f t="shared" si="5"/>
        <v>0</v>
      </c>
      <c r="AD43" s="158">
        <f t="shared" si="6"/>
        <v>0</v>
      </c>
      <c r="AE43" s="156">
        <f t="shared" si="7"/>
        <v>0</v>
      </c>
      <c r="AF43" s="156">
        <f t="shared" si="8"/>
        <v>0</v>
      </c>
      <c r="AG43" s="156">
        <f>IF(AND(SUM($AA$16:AA42)&gt;0,SUM($AG$16:AG42)&lt;$O$62,$W43&gt;=$O$65),$O$64,0)</f>
        <v>0</v>
      </c>
      <c r="AH43" s="220">
        <f>IF(SUM($AA$17:$AA42)&gt;0,($O$62-SUM($AG$17:$AG42))*$E$65,0)</f>
        <v>0</v>
      </c>
      <c r="AI43" s="157">
        <f t="shared" si="9"/>
        <v>0</v>
      </c>
      <c r="AJ43" s="153">
        <f t="shared" si="10"/>
        <v>0</v>
      </c>
      <c r="AK43" s="155">
        <f>(SUM($P$31,$P$51)-SUM($AU$17:AU42))*$O$109</f>
        <v>0</v>
      </c>
      <c r="AL43" s="160"/>
      <c r="AM43" s="154">
        <f t="shared" si="11"/>
        <v>0</v>
      </c>
      <c r="AN43" s="161"/>
      <c r="AO43" s="152">
        <f t="shared" si="12"/>
        <v>0</v>
      </c>
      <c r="AP43" s="153">
        <f t="shared" si="13"/>
        <v>0</v>
      </c>
      <c r="AQ43" s="153">
        <f t="shared" si="14"/>
        <v>0</v>
      </c>
      <c r="AR43" s="156">
        <f t="shared" si="15"/>
        <v>0</v>
      </c>
      <c r="AS43" s="157">
        <f t="shared" si="16"/>
        <v>0</v>
      </c>
      <c r="AT43" s="156">
        <f t="shared" si="17"/>
        <v>0</v>
      </c>
      <c r="AU43" s="156">
        <f t="shared" si="18"/>
        <v>0</v>
      </c>
      <c r="AV43" s="156">
        <f t="shared" si="19"/>
        <v>0</v>
      </c>
      <c r="AW43" s="156">
        <f t="shared" si="20"/>
        <v>0</v>
      </c>
      <c r="AX43" s="156">
        <f t="shared" si="21"/>
        <v>0</v>
      </c>
      <c r="AY43" s="156">
        <f t="shared" si="22"/>
        <v>0</v>
      </c>
      <c r="AZ43" s="156">
        <f>IF(AND(SUM($AQ$16:AQ42)&gt;0,SUM($AZ$16:AZ42)&lt;$P$62,$W43&gt;=$P$65),$P$64,0)</f>
        <v>0</v>
      </c>
      <c r="BA43" s="156">
        <f>IF(SUM($AQ$17:$AQ42)&gt;0,($P$62-SUM($AZ$17:$AZ42))*$F$65,0)</f>
        <v>0</v>
      </c>
      <c r="BB43" s="157">
        <f t="shared" si="23"/>
        <v>0</v>
      </c>
      <c r="BC43" s="153">
        <f t="shared" si="24"/>
        <v>0</v>
      </c>
      <c r="BD43" s="154">
        <f t="shared" si="25"/>
        <v>0</v>
      </c>
      <c r="BE43" s="48"/>
      <c r="BF43" s="46">
        <f t="shared" si="43"/>
        <v>0.40019958592890875</v>
      </c>
      <c r="BH43" s="152">
        <f t="shared" si="26"/>
        <v>0</v>
      </c>
      <c r="BI43" s="152">
        <f t="shared" si="27"/>
        <v>0</v>
      </c>
      <c r="BJ43" s="153">
        <f t="shared" si="28"/>
        <v>0</v>
      </c>
      <c r="BK43" s="153">
        <f t="shared" si="29"/>
        <v>0</v>
      </c>
      <c r="BL43" s="153">
        <f t="shared" si="30"/>
        <v>0</v>
      </c>
      <c r="BM43" s="153">
        <f t="shared" si="31"/>
        <v>0</v>
      </c>
      <c r="BN43" s="154">
        <f t="shared" si="32"/>
        <v>0</v>
      </c>
      <c r="BO43" s="153">
        <f t="shared" si="33"/>
        <v>0</v>
      </c>
      <c r="BP43" s="153">
        <f t="shared" si="34"/>
        <v>0</v>
      </c>
      <c r="BQ43" s="153">
        <f t="shared" si="35"/>
        <v>0</v>
      </c>
      <c r="BR43" s="153">
        <f t="shared" si="36"/>
        <v>0</v>
      </c>
      <c r="BS43" s="220">
        <f t="shared" si="37"/>
        <v>0</v>
      </c>
      <c r="BT43" s="153">
        <f t="shared" si="38"/>
        <v>0</v>
      </c>
      <c r="BU43" s="154">
        <f t="shared" si="39"/>
        <v>0</v>
      </c>
      <c r="BV43" s="154">
        <f t="shared" si="40"/>
        <v>0</v>
      </c>
      <c r="BW43" s="150"/>
      <c r="BX43" s="155">
        <f t="shared" si="41"/>
        <v>0</v>
      </c>
      <c r="BY43" s="273">
        <f t="shared" si="44"/>
        <v>0</v>
      </c>
      <c r="CA43"/>
    </row>
    <row r="44" spans="2:79" ht="15.75" customHeight="1">
      <c r="C44" s="265" t="s">
        <v>130</v>
      </c>
      <c r="D44" t="s">
        <v>7</v>
      </c>
      <c r="E44" s="266"/>
      <c r="F44" s="187">
        <v>25</v>
      </c>
      <c r="K44" t="s">
        <v>131</v>
      </c>
      <c r="N44" s="19" t="s">
        <v>7</v>
      </c>
      <c r="O44" s="21">
        <f>O41*$F$17</f>
        <v>1000</v>
      </c>
      <c r="P44" s="21">
        <f>P43*$F$17</f>
        <v>950</v>
      </c>
      <c r="V44" s="57">
        <f t="shared" si="42"/>
        <v>55609</v>
      </c>
      <c r="W44" s="26">
        <v>28</v>
      </c>
      <c r="X44" s="269" t="str">
        <f t="shared" si="0"/>
        <v>-</v>
      </c>
      <c r="Y44" s="158">
        <f t="shared" si="1"/>
        <v>0</v>
      </c>
      <c r="Z44" s="156">
        <f t="shared" si="2"/>
        <v>0</v>
      </c>
      <c r="AA44" s="156">
        <f t="shared" si="3"/>
        <v>0</v>
      </c>
      <c r="AB44" s="156">
        <f t="shared" si="4"/>
        <v>0</v>
      </c>
      <c r="AC44" s="157">
        <f t="shared" si="5"/>
        <v>0</v>
      </c>
      <c r="AD44" s="158">
        <f t="shared" si="6"/>
        <v>0</v>
      </c>
      <c r="AE44" s="156">
        <f t="shared" si="7"/>
        <v>0</v>
      </c>
      <c r="AF44" s="156">
        <f t="shared" si="8"/>
        <v>0</v>
      </c>
      <c r="AG44" s="156">
        <f>IF(AND(SUM($AA$16:AA43)&gt;0,SUM($AG$16:AG43)&lt;$O$62,$W44&gt;=$O$65),$O$64,0)</f>
        <v>0</v>
      </c>
      <c r="AH44" s="220">
        <f>IF(SUM($AA$17:$AA43)&gt;0,($O$62-SUM($AG$17:$AG43))*$E$65,0)</f>
        <v>0</v>
      </c>
      <c r="AI44" s="157">
        <f t="shared" si="9"/>
        <v>0</v>
      </c>
      <c r="AJ44" s="153">
        <f t="shared" si="10"/>
        <v>0</v>
      </c>
      <c r="AK44" s="155">
        <f>(SUM($P$31,$P$51)-SUM($AU$17:AU43))*$O$109</f>
        <v>0</v>
      </c>
      <c r="AL44" s="160"/>
      <c r="AM44" s="154">
        <f t="shared" si="11"/>
        <v>0</v>
      </c>
      <c r="AN44" s="161"/>
      <c r="AO44" s="152">
        <f t="shared" si="12"/>
        <v>0</v>
      </c>
      <c r="AP44" s="153">
        <f t="shared" si="13"/>
        <v>0</v>
      </c>
      <c r="AQ44" s="153">
        <f t="shared" si="14"/>
        <v>0</v>
      </c>
      <c r="AR44" s="156">
        <f t="shared" si="15"/>
        <v>0</v>
      </c>
      <c r="AS44" s="157">
        <f t="shared" si="16"/>
        <v>0</v>
      </c>
      <c r="AT44" s="156">
        <f t="shared" si="17"/>
        <v>0</v>
      </c>
      <c r="AU44" s="156">
        <f t="shared" si="18"/>
        <v>0</v>
      </c>
      <c r="AV44" s="156">
        <f t="shared" si="19"/>
        <v>0</v>
      </c>
      <c r="AW44" s="156">
        <f t="shared" si="20"/>
        <v>0</v>
      </c>
      <c r="AX44" s="156">
        <f t="shared" si="21"/>
        <v>0</v>
      </c>
      <c r="AY44" s="156">
        <f t="shared" si="22"/>
        <v>0</v>
      </c>
      <c r="AZ44" s="156">
        <f>IF(AND(SUM($AQ$16:AQ43)&gt;0,SUM($AZ$16:AZ43)&lt;$P$62,$W44&gt;=$P$65),$P$64,0)</f>
        <v>0</v>
      </c>
      <c r="BA44" s="156">
        <f>IF(SUM($AQ$17:$AQ43)&gt;0,($P$62-SUM($AZ$17:$AZ43))*$F$65,0)</f>
        <v>0</v>
      </c>
      <c r="BB44" s="157">
        <f t="shared" si="23"/>
        <v>0</v>
      </c>
      <c r="BC44" s="153">
        <f t="shared" si="24"/>
        <v>0</v>
      </c>
      <c r="BD44" s="154">
        <f t="shared" si="25"/>
        <v>0</v>
      </c>
      <c r="BE44" s="48"/>
      <c r="BF44" s="46">
        <f t="shared" si="43"/>
        <v>0.38685315217874217</v>
      </c>
      <c r="BH44" s="152">
        <f t="shared" si="26"/>
        <v>0</v>
      </c>
      <c r="BI44" s="152">
        <f t="shared" si="27"/>
        <v>0</v>
      </c>
      <c r="BJ44" s="153">
        <f t="shared" si="28"/>
        <v>0</v>
      </c>
      <c r="BK44" s="153">
        <f t="shared" si="29"/>
        <v>0</v>
      </c>
      <c r="BL44" s="153">
        <f t="shared" si="30"/>
        <v>0</v>
      </c>
      <c r="BM44" s="153">
        <f t="shared" si="31"/>
        <v>0</v>
      </c>
      <c r="BN44" s="154">
        <f t="shared" si="32"/>
        <v>0</v>
      </c>
      <c r="BO44" s="153">
        <f t="shared" si="33"/>
        <v>0</v>
      </c>
      <c r="BP44" s="153">
        <f t="shared" si="34"/>
        <v>0</v>
      </c>
      <c r="BQ44" s="153">
        <f t="shared" si="35"/>
        <v>0</v>
      </c>
      <c r="BR44" s="153">
        <f t="shared" si="36"/>
        <v>0</v>
      </c>
      <c r="BS44" s="220">
        <f t="shared" si="37"/>
        <v>0</v>
      </c>
      <c r="BT44" s="153">
        <f t="shared" si="38"/>
        <v>0</v>
      </c>
      <c r="BU44" s="154">
        <f t="shared" si="39"/>
        <v>0</v>
      </c>
      <c r="BV44" s="154">
        <f t="shared" si="40"/>
        <v>0</v>
      </c>
      <c r="BW44" s="150"/>
      <c r="BX44" s="155">
        <f t="shared" si="41"/>
        <v>0</v>
      </c>
      <c r="BY44" s="273">
        <f t="shared" si="44"/>
        <v>0</v>
      </c>
      <c r="CA44"/>
    </row>
    <row r="45" spans="2:79" ht="15.75" customHeight="1">
      <c r="C45" t="s">
        <v>132</v>
      </c>
      <c r="D45" t="s">
        <v>7</v>
      </c>
      <c r="E45" s="187">
        <v>10</v>
      </c>
      <c r="F45" s="187">
        <v>6</v>
      </c>
      <c r="V45" s="57">
        <f t="shared" si="42"/>
        <v>55974</v>
      </c>
      <c r="W45" s="26">
        <v>29</v>
      </c>
      <c r="X45" s="269" t="str">
        <f t="shared" si="0"/>
        <v>-</v>
      </c>
      <c r="Y45" s="158">
        <f t="shared" si="1"/>
        <v>0</v>
      </c>
      <c r="Z45" s="156">
        <f t="shared" si="2"/>
        <v>0</v>
      </c>
      <c r="AA45" s="156">
        <f t="shared" si="3"/>
        <v>0</v>
      </c>
      <c r="AB45" s="156">
        <f t="shared" si="4"/>
        <v>0</v>
      </c>
      <c r="AC45" s="157">
        <f t="shared" si="5"/>
        <v>0</v>
      </c>
      <c r="AD45" s="158">
        <f t="shared" si="6"/>
        <v>0</v>
      </c>
      <c r="AE45" s="156">
        <f t="shared" si="7"/>
        <v>0</v>
      </c>
      <c r="AF45" s="156">
        <f t="shared" si="8"/>
        <v>0</v>
      </c>
      <c r="AG45" s="156">
        <f>IF(AND(SUM($AA$16:AA44)&gt;0,SUM($AG$16:AG44)&lt;$O$62,$W45&gt;=$O$65),$O$64,0)</f>
        <v>0</v>
      </c>
      <c r="AH45" s="220">
        <f>IF(SUM($AA$17:$AA44)&gt;0,($O$62-SUM($AG$17:$AG44))*$E$65,0)</f>
        <v>0</v>
      </c>
      <c r="AI45" s="157">
        <f t="shared" si="9"/>
        <v>0</v>
      </c>
      <c r="AJ45" s="153">
        <f t="shared" si="10"/>
        <v>0</v>
      </c>
      <c r="AK45" s="155">
        <f>(SUM($P$31,$P$51)-SUM($AU$17:AU44))*$O$109</f>
        <v>0</v>
      </c>
      <c r="AL45" s="160"/>
      <c r="AM45" s="154">
        <f t="shared" si="11"/>
        <v>0</v>
      </c>
      <c r="AN45" s="161"/>
      <c r="AO45" s="152">
        <f t="shared" si="12"/>
        <v>0</v>
      </c>
      <c r="AP45" s="153">
        <f t="shared" si="13"/>
        <v>0</v>
      </c>
      <c r="AQ45" s="153">
        <f t="shared" si="14"/>
        <v>0</v>
      </c>
      <c r="AR45" s="156">
        <f t="shared" si="15"/>
        <v>0</v>
      </c>
      <c r="AS45" s="157">
        <f t="shared" si="16"/>
        <v>0</v>
      </c>
      <c r="AT45" s="156">
        <f t="shared" si="17"/>
        <v>0</v>
      </c>
      <c r="AU45" s="156">
        <f t="shared" si="18"/>
        <v>0</v>
      </c>
      <c r="AV45" s="156">
        <f t="shared" si="19"/>
        <v>0</v>
      </c>
      <c r="AW45" s="156">
        <f t="shared" si="20"/>
        <v>0</v>
      </c>
      <c r="AX45" s="156">
        <f t="shared" si="21"/>
        <v>0</v>
      </c>
      <c r="AY45" s="156">
        <f t="shared" si="22"/>
        <v>0</v>
      </c>
      <c r="AZ45" s="156">
        <f>IF(AND(SUM($AQ$16:AQ44)&gt;0,SUM($AZ$16:AZ44)&lt;$P$62,$W45&gt;=$P$65),$P$64,0)</f>
        <v>0</v>
      </c>
      <c r="BA45" s="156">
        <f>IF(SUM($AQ$17:$AQ44)&gt;0,($P$62-SUM($AZ$17:$AZ44))*$F$65,0)</f>
        <v>0</v>
      </c>
      <c r="BB45" s="157">
        <f t="shared" si="23"/>
        <v>0</v>
      </c>
      <c r="BC45" s="153">
        <f t="shared" si="24"/>
        <v>0</v>
      </c>
      <c r="BD45" s="154">
        <f t="shared" si="25"/>
        <v>0</v>
      </c>
      <c r="BE45" s="48"/>
      <c r="BF45" s="46">
        <f t="shared" si="43"/>
        <v>0.37395181457587451</v>
      </c>
      <c r="BH45" s="152">
        <f t="shared" si="26"/>
        <v>0</v>
      </c>
      <c r="BI45" s="152">
        <f t="shared" si="27"/>
        <v>0</v>
      </c>
      <c r="BJ45" s="153">
        <f t="shared" si="28"/>
        <v>0</v>
      </c>
      <c r="BK45" s="153">
        <f t="shared" si="29"/>
        <v>0</v>
      </c>
      <c r="BL45" s="153">
        <f t="shared" si="30"/>
        <v>0</v>
      </c>
      <c r="BM45" s="153">
        <f t="shared" si="31"/>
        <v>0</v>
      </c>
      <c r="BN45" s="154">
        <f t="shared" si="32"/>
        <v>0</v>
      </c>
      <c r="BO45" s="153">
        <f t="shared" si="33"/>
        <v>0</v>
      </c>
      <c r="BP45" s="153">
        <f t="shared" si="34"/>
        <v>0</v>
      </c>
      <c r="BQ45" s="153">
        <f t="shared" si="35"/>
        <v>0</v>
      </c>
      <c r="BR45" s="153">
        <f t="shared" si="36"/>
        <v>0</v>
      </c>
      <c r="BS45" s="220">
        <f t="shared" si="37"/>
        <v>0</v>
      </c>
      <c r="BT45" s="153">
        <f t="shared" si="38"/>
        <v>0</v>
      </c>
      <c r="BU45" s="154">
        <f t="shared" si="39"/>
        <v>0</v>
      </c>
      <c r="BV45" s="154">
        <f t="shared" si="40"/>
        <v>0</v>
      </c>
      <c r="BW45" s="150"/>
      <c r="BX45" s="155">
        <f t="shared" si="41"/>
        <v>0</v>
      </c>
      <c r="BY45" s="273">
        <f t="shared" si="44"/>
        <v>0</v>
      </c>
      <c r="CA45"/>
    </row>
    <row r="46" spans="2:79" ht="15.75" customHeight="1">
      <c r="B46" t="s">
        <v>133</v>
      </c>
      <c r="J46" s="4" t="s">
        <v>134</v>
      </c>
      <c r="V46" s="57">
        <f t="shared" si="42"/>
        <v>56339</v>
      </c>
      <c r="W46" s="26">
        <v>30</v>
      </c>
      <c r="X46" s="269" t="str">
        <f t="shared" si="0"/>
        <v>-</v>
      </c>
      <c r="Y46" s="158">
        <f t="shared" si="1"/>
        <v>0</v>
      </c>
      <c r="Z46" s="156">
        <f t="shared" si="2"/>
        <v>0</v>
      </c>
      <c r="AA46" s="156">
        <f t="shared" si="3"/>
        <v>0</v>
      </c>
      <c r="AB46" s="156">
        <f t="shared" si="4"/>
        <v>0</v>
      </c>
      <c r="AC46" s="157">
        <f t="shared" si="5"/>
        <v>0</v>
      </c>
      <c r="AD46" s="158">
        <f t="shared" si="6"/>
        <v>0</v>
      </c>
      <c r="AE46" s="156">
        <f t="shared" si="7"/>
        <v>0</v>
      </c>
      <c r="AF46" s="156">
        <f t="shared" si="8"/>
        <v>0</v>
      </c>
      <c r="AG46" s="156">
        <f>IF(AND(SUM($AA$16:AA45)&gt;0,SUM($AG$16:AG45)&lt;$O$62,$W46&gt;=$O$65),$O$64,0)</f>
        <v>0</v>
      </c>
      <c r="AH46" s="220">
        <f>IF(SUM($AA$17:$AA45)&gt;0,($O$62-SUM($AG$17:$AG45))*$E$65,0)</f>
        <v>0</v>
      </c>
      <c r="AI46" s="157">
        <f t="shared" si="9"/>
        <v>0</v>
      </c>
      <c r="AJ46" s="153">
        <f t="shared" si="10"/>
        <v>0</v>
      </c>
      <c r="AK46" s="155">
        <f>(SUM($P$31,$P$51)-SUM($AU$17:AU45))*$O$109</f>
        <v>0</v>
      </c>
      <c r="AL46" s="160"/>
      <c r="AM46" s="154">
        <f t="shared" si="11"/>
        <v>0</v>
      </c>
      <c r="AN46" s="161"/>
      <c r="AO46" s="152">
        <f t="shared" si="12"/>
        <v>0</v>
      </c>
      <c r="AP46" s="153">
        <f t="shared" si="13"/>
        <v>0</v>
      </c>
      <c r="AQ46" s="153">
        <f t="shared" si="14"/>
        <v>0</v>
      </c>
      <c r="AR46" s="156">
        <f t="shared" si="15"/>
        <v>0</v>
      </c>
      <c r="AS46" s="157">
        <f t="shared" si="16"/>
        <v>0</v>
      </c>
      <c r="AT46" s="156">
        <f t="shared" si="17"/>
        <v>0</v>
      </c>
      <c r="AU46" s="156">
        <f t="shared" si="18"/>
        <v>0</v>
      </c>
      <c r="AV46" s="156">
        <f t="shared" si="19"/>
        <v>0</v>
      </c>
      <c r="AW46" s="156">
        <f t="shared" si="20"/>
        <v>0</v>
      </c>
      <c r="AX46" s="156">
        <f t="shared" si="21"/>
        <v>0</v>
      </c>
      <c r="AY46" s="156">
        <f t="shared" si="22"/>
        <v>0</v>
      </c>
      <c r="AZ46" s="156">
        <f>IF(AND(SUM($AQ$16:AQ45)&gt;0,SUM($AZ$16:AZ45)&lt;$P$62,$W46&gt;=$P$65),$P$64,0)</f>
        <v>0</v>
      </c>
      <c r="BA46" s="156">
        <f>IF(SUM($AQ$17:$AQ45)&gt;0,($P$62-SUM($AZ$17:$AZ45))*$F$65,0)</f>
        <v>0</v>
      </c>
      <c r="BB46" s="157">
        <f t="shared" si="23"/>
        <v>0</v>
      </c>
      <c r="BC46" s="153">
        <f t="shared" si="24"/>
        <v>0</v>
      </c>
      <c r="BD46" s="154">
        <f t="shared" si="25"/>
        <v>0</v>
      </c>
      <c r="BE46" s="48"/>
      <c r="BF46" s="47">
        <f t="shared" si="43"/>
        <v>0.36148072941118853</v>
      </c>
      <c r="BH46" s="152">
        <f t="shared" si="26"/>
        <v>0</v>
      </c>
      <c r="BI46" s="152">
        <f t="shared" si="27"/>
        <v>0</v>
      </c>
      <c r="BJ46" s="153">
        <f t="shared" si="28"/>
        <v>0</v>
      </c>
      <c r="BK46" s="153">
        <f t="shared" si="29"/>
        <v>0</v>
      </c>
      <c r="BL46" s="153">
        <f t="shared" si="30"/>
        <v>0</v>
      </c>
      <c r="BM46" s="156">
        <f t="shared" si="31"/>
        <v>0</v>
      </c>
      <c r="BN46" s="157">
        <f t="shared" si="32"/>
        <v>0</v>
      </c>
      <c r="BO46" s="153">
        <f t="shared" si="33"/>
        <v>0</v>
      </c>
      <c r="BP46" s="153">
        <f t="shared" si="34"/>
        <v>0</v>
      </c>
      <c r="BQ46" s="153">
        <f t="shared" si="35"/>
        <v>0</v>
      </c>
      <c r="BR46" s="153">
        <f t="shared" si="36"/>
        <v>0</v>
      </c>
      <c r="BS46" s="220">
        <f t="shared" si="37"/>
        <v>0</v>
      </c>
      <c r="BT46" s="153">
        <f t="shared" si="38"/>
        <v>0</v>
      </c>
      <c r="BU46" s="157">
        <f t="shared" si="39"/>
        <v>0</v>
      </c>
      <c r="BV46" s="157">
        <f t="shared" si="40"/>
        <v>0</v>
      </c>
      <c r="BW46" s="150"/>
      <c r="BX46" s="155">
        <f t="shared" si="41"/>
        <v>0</v>
      </c>
      <c r="BY46" s="273">
        <f t="shared" si="44"/>
        <v>0</v>
      </c>
      <c r="CA46"/>
    </row>
    <row r="47" spans="2:79" ht="15.75" customHeight="1">
      <c r="F47" s="72">
        <v>1</v>
      </c>
      <c r="G47">
        <v>0</v>
      </c>
      <c r="H47" t="s">
        <v>135</v>
      </c>
      <c r="K47" t="s">
        <v>136</v>
      </c>
      <c r="V47" s="57">
        <f t="shared" si="42"/>
        <v>56704</v>
      </c>
      <c r="W47" s="26">
        <v>31</v>
      </c>
      <c r="X47" s="269" t="str">
        <f t="shared" si="0"/>
        <v>-</v>
      </c>
      <c r="Y47" s="158">
        <f t="shared" si="1"/>
        <v>0</v>
      </c>
      <c r="Z47" s="156">
        <f t="shared" si="2"/>
        <v>0</v>
      </c>
      <c r="AA47" s="156">
        <f t="shared" si="3"/>
        <v>0</v>
      </c>
      <c r="AB47" s="156">
        <f t="shared" si="4"/>
        <v>0</v>
      </c>
      <c r="AC47" s="157">
        <f t="shared" si="5"/>
        <v>0</v>
      </c>
      <c r="AD47" s="158">
        <f t="shared" si="6"/>
        <v>0</v>
      </c>
      <c r="AE47" s="156">
        <f t="shared" si="7"/>
        <v>0</v>
      </c>
      <c r="AF47" s="156">
        <f t="shared" si="8"/>
        <v>0</v>
      </c>
      <c r="AG47" s="156">
        <f>IF(AND(SUM($AA$16:AA46)&gt;0,SUM($AG$16:AG46)&lt;$O$62,$W47&gt;=$O$65),$O$64,0)</f>
        <v>0</v>
      </c>
      <c r="AH47" s="220">
        <f>IF(SUM($AA$17:$AA46)&gt;0,($O$62-SUM($AG$17:$AG46))*$E$65,0)</f>
        <v>0</v>
      </c>
      <c r="AI47" s="157">
        <f t="shared" si="9"/>
        <v>0</v>
      </c>
      <c r="AJ47" s="153">
        <f t="shared" si="10"/>
        <v>0</v>
      </c>
      <c r="AK47" s="155">
        <f>(SUM($P$31,$P$51)-SUM($AU$17:AU46))*$O$109</f>
        <v>0</v>
      </c>
      <c r="AL47" s="160"/>
      <c r="AM47" s="154">
        <f t="shared" si="11"/>
        <v>0</v>
      </c>
      <c r="AN47" s="161"/>
      <c r="AO47" s="152">
        <f t="shared" si="12"/>
        <v>0</v>
      </c>
      <c r="AP47" s="153">
        <f t="shared" si="13"/>
        <v>0</v>
      </c>
      <c r="AQ47" s="153">
        <f t="shared" si="14"/>
        <v>0</v>
      </c>
      <c r="AR47" s="156">
        <f t="shared" si="15"/>
        <v>0</v>
      </c>
      <c r="AS47" s="157">
        <f t="shared" si="16"/>
        <v>0</v>
      </c>
      <c r="AT47" s="156">
        <f t="shared" si="17"/>
        <v>0</v>
      </c>
      <c r="AU47" s="156">
        <f t="shared" si="18"/>
        <v>0</v>
      </c>
      <c r="AV47" s="156">
        <f t="shared" si="19"/>
        <v>0</v>
      </c>
      <c r="AW47" s="156">
        <f t="shared" si="20"/>
        <v>0</v>
      </c>
      <c r="AX47" s="156">
        <f t="shared" si="21"/>
        <v>0</v>
      </c>
      <c r="AY47" s="156">
        <f t="shared" si="22"/>
        <v>0</v>
      </c>
      <c r="AZ47" s="156">
        <f>IF(AND(SUM($AQ$16:AQ46)&gt;0,SUM($AZ$16:AZ46)&lt;$P$62,$W47&gt;=$P$65),$P$64,0)</f>
        <v>0</v>
      </c>
      <c r="BA47" s="156">
        <f>IF(SUM($AQ$17:$AQ46)&gt;0,($P$62-SUM($AZ$17:$AZ46))*$F$65,0)</f>
        <v>0</v>
      </c>
      <c r="BB47" s="157">
        <f t="shared" si="23"/>
        <v>0</v>
      </c>
      <c r="BC47" s="153">
        <f t="shared" si="24"/>
        <v>0</v>
      </c>
      <c r="BD47" s="154">
        <f t="shared" si="25"/>
        <v>0</v>
      </c>
      <c r="BE47" s="48"/>
      <c r="BF47" s="47">
        <f t="shared" si="43"/>
        <v>0.34942554800501552</v>
      </c>
      <c r="BH47" s="152">
        <f t="shared" si="26"/>
        <v>0</v>
      </c>
      <c r="BI47" s="152">
        <f t="shared" si="27"/>
        <v>0</v>
      </c>
      <c r="BJ47" s="153">
        <f t="shared" si="28"/>
        <v>0</v>
      </c>
      <c r="BK47" s="153">
        <f t="shared" si="29"/>
        <v>0</v>
      </c>
      <c r="BL47" s="153">
        <f t="shared" si="30"/>
        <v>0</v>
      </c>
      <c r="BM47" s="156">
        <f t="shared" si="31"/>
        <v>0</v>
      </c>
      <c r="BN47" s="157">
        <f t="shared" si="32"/>
        <v>0</v>
      </c>
      <c r="BO47" s="153">
        <f t="shared" si="33"/>
        <v>0</v>
      </c>
      <c r="BP47" s="153">
        <f t="shared" si="34"/>
        <v>0</v>
      </c>
      <c r="BQ47" s="153">
        <f t="shared" si="35"/>
        <v>0</v>
      </c>
      <c r="BR47" s="153">
        <f t="shared" si="36"/>
        <v>0</v>
      </c>
      <c r="BS47" s="220">
        <f t="shared" si="37"/>
        <v>0</v>
      </c>
      <c r="BT47" s="153">
        <f t="shared" si="38"/>
        <v>0</v>
      </c>
      <c r="BU47" s="157">
        <f t="shared" si="39"/>
        <v>0</v>
      </c>
      <c r="BV47" s="157">
        <f t="shared" si="40"/>
        <v>0</v>
      </c>
      <c r="BW47" s="150"/>
      <c r="BX47" s="155">
        <f t="shared" si="41"/>
        <v>0</v>
      </c>
      <c r="BY47" s="273">
        <f t="shared" si="44"/>
        <v>0</v>
      </c>
      <c r="CA47"/>
    </row>
    <row r="48" spans="2:79" ht="15.75" customHeight="1">
      <c r="G48">
        <v>1</v>
      </c>
      <c r="H48" t="s">
        <v>137</v>
      </c>
      <c r="I48" s="19"/>
      <c r="M48" t="s">
        <v>138</v>
      </c>
      <c r="N48" s="19" t="s">
        <v>7</v>
      </c>
      <c r="O48" s="52"/>
      <c r="P48" s="50">
        <f>F104</f>
        <v>0</v>
      </c>
      <c r="V48" s="57">
        <f t="shared" si="42"/>
        <v>57070</v>
      </c>
      <c r="W48" s="26">
        <v>32</v>
      </c>
      <c r="X48" s="269" t="str">
        <f t="shared" si="0"/>
        <v>-</v>
      </c>
      <c r="Y48" s="158">
        <f t="shared" si="1"/>
        <v>0</v>
      </c>
      <c r="Z48" s="156">
        <f t="shared" si="2"/>
        <v>0</v>
      </c>
      <c r="AA48" s="156">
        <f t="shared" si="3"/>
        <v>0</v>
      </c>
      <c r="AB48" s="156">
        <f t="shared" si="4"/>
        <v>0</v>
      </c>
      <c r="AC48" s="157">
        <f t="shared" si="5"/>
        <v>0</v>
      </c>
      <c r="AD48" s="158">
        <f t="shared" si="6"/>
        <v>0</v>
      </c>
      <c r="AE48" s="156">
        <f t="shared" si="7"/>
        <v>0</v>
      </c>
      <c r="AF48" s="156">
        <f t="shared" si="8"/>
        <v>0</v>
      </c>
      <c r="AG48" s="156">
        <f>IF(AND(SUM($AA$16:AA47)&gt;0,SUM($AG$16:AG47)&lt;$O$62,$W48&gt;=$O$65),$O$64,0)</f>
        <v>0</v>
      </c>
      <c r="AH48" s="220">
        <f>IF(SUM($AA$17:$AA47)&gt;0,($O$62-SUM($AG$17:$AG47))*$E$65,0)</f>
        <v>0</v>
      </c>
      <c r="AI48" s="157">
        <f t="shared" si="9"/>
        <v>0</v>
      </c>
      <c r="AJ48" s="153">
        <f t="shared" si="10"/>
        <v>0</v>
      </c>
      <c r="AK48" s="155">
        <f>(SUM($P$31,$P$51)-SUM($AU$17:AU47))*$O$109</f>
        <v>0</v>
      </c>
      <c r="AL48" s="160"/>
      <c r="AM48" s="154">
        <f t="shared" si="11"/>
        <v>0</v>
      </c>
      <c r="AN48" s="161"/>
      <c r="AO48" s="152">
        <f t="shared" si="12"/>
        <v>0</v>
      </c>
      <c r="AP48" s="153">
        <f t="shared" si="13"/>
        <v>0</v>
      </c>
      <c r="AQ48" s="153">
        <f t="shared" si="14"/>
        <v>0</v>
      </c>
      <c r="AR48" s="156">
        <f t="shared" si="15"/>
        <v>0</v>
      </c>
      <c r="AS48" s="157">
        <f t="shared" si="16"/>
        <v>0</v>
      </c>
      <c r="AT48" s="156">
        <f t="shared" si="17"/>
        <v>0</v>
      </c>
      <c r="AU48" s="156">
        <f t="shared" si="18"/>
        <v>0</v>
      </c>
      <c r="AV48" s="156">
        <f t="shared" si="19"/>
        <v>0</v>
      </c>
      <c r="AW48" s="156">
        <f t="shared" si="20"/>
        <v>0</v>
      </c>
      <c r="AX48" s="156">
        <f t="shared" si="21"/>
        <v>0</v>
      </c>
      <c r="AY48" s="156">
        <f t="shared" si="22"/>
        <v>0</v>
      </c>
      <c r="AZ48" s="156">
        <f>IF(AND(SUM($AQ$16:AQ47)&gt;0,SUM($AZ$16:AZ47)&lt;$P$62,$W48&gt;=$P$65),$P$64,0)</f>
        <v>0</v>
      </c>
      <c r="BA48" s="156">
        <f>IF(SUM($AQ$17:$AQ47)&gt;0,($P$62-SUM($AZ$17:$AZ47))*$F$65,0)</f>
        <v>0</v>
      </c>
      <c r="BB48" s="157">
        <f t="shared" si="23"/>
        <v>0</v>
      </c>
      <c r="BC48" s="153">
        <f t="shared" si="24"/>
        <v>0</v>
      </c>
      <c r="BD48" s="154">
        <f t="shared" si="25"/>
        <v>0</v>
      </c>
      <c r="BE48" s="48"/>
      <c r="BF48" s="47">
        <f t="shared" si="43"/>
        <v>0.33777240019817839</v>
      </c>
      <c r="BH48" s="152">
        <f t="shared" si="26"/>
        <v>0</v>
      </c>
      <c r="BI48" s="152">
        <f t="shared" si="27"/>
        <v>0</v>
      </c>
      <c r="BJ48" s="153">
        <f t="shared" si="28"/>
        <v>0</v>
      </c>
      <c r="BK48" s="153">
        <f t="shared" si="29"/>
        <v>0</v>
      </c>
      <c r="BL48" s="153">
        <f t="shared" si="30"/>
        <v>0</v>
      </c>
      <c r="BM48" s="156">
        <f t="shared" si="31"/>
        <v>0</v>
      </c>
      <c r="BN48" s="157">
        <f t="shared" si="32"/>
        <v>0</v>
      </c>
      <c r="BO48" s="153">
        <f t="shared" si="33"/>
        <v>0</v>
      </c>
      <c r="BP48" s="153">
        <f t="shared" si="34"/>
        <v>0</v>
      </c>
      <c r="BQ48" s="153">
        <f t="shared" si="35"/>
        <v>0</v>
      </c>
      <c r="BR48" s="153">
        <f t="shared" si="36"/>
        <v>0</v>
      </c>
      <c r="BS48" s="220">
        <f t="shared" si="37"/>
        <v>0</v>
      </c>
      <c r="BT48" s="153">
        <f t="shared" si="38"/>
        <v>0</v>
      </c>
      <c r="BU48" s="157">
        <f t="shared" si="39"/>
        <v>0</v>
      </c>
      <c r="BV48" s="157">
        <f t="shared" si="40"/>
        <v>0</v>
      </c>
      <c r="BW48" s="150"/>
      <c r="BX48" s="155">
        <f t="shared" si="41"/>
        <v>0</v>
      </c>
      <c r="BY48" s="273">
        <f t="shared" si="44"/>
        <v>0</v>
      </c>
    </row>
    <row r="49" spans="1:77" ht="15.75" customHeight="1">
      <c r="B49" s="92" t="s">
        <v>139</v>
      </c>
      <c r="M49" t="s">
        <v>140</v>
      </c>
      <c r="N49" s="19" t="s">
        <v>7</v>
      </c>
      <c r="O49" s="120"/>
      <c r="P49" s="121">
        <f>F105*$F$16</f>
        <v>0</v>
      </c>
      <c r="V49" s="57">
        <f t="shared" si="42"/>
        <v>57435</v>
      </c>
      <c r="W49" s="26">
        <v>33</v>
      </c>
      <c r="X49" s="269" t="str">
        <f t="shared" si="0"/>
        <v>-</v>
      </c>
      <c r="Y49" s="158">
        <f t="shared" si="1"/>
        <v>0</v>
      </c>
      <c r="Z49" s="156">
        <f t="shared" si="2"/>
        <v>0</v>
      </c>
      <c r="AA49" s="156">
        <f t="shared" si="3"/>
        <v>0</v>
      </c>
      <c r="AB49" s="156">
        <f t="shared" si="4"/>
        <v>0</v>
      </c>
      <c r="AC49" s="157">
        <f t="shared" si="5"/>
        <v>0</v>
      </c>
      <c r="AD49" s="158">
        <f t="shared" si="6"/>
        <v>0</v>
      </c>
      <c r="AE49" s="156">
        <f t="shared" si="7"/>
        <v>0</v>
      </c>
      <c r="AF49" s="156">
        <f t="shared" si="8"/>
        <v>0</v>
      </c>
      <c r="AG49" s="156">
        <f>IF(AND(SUM($AA$16:AA48)&gt;0,SUM($AG$16:AG48)&lt;$O$62,$W49&gt;=$O$65),$O$64,0)</f>
        <v>0</v>
      </c>
      <c r="AH49" s="220">
        <f>IF(SUM($AA$17:$AA48)&gt;0,($O$62-SUM($AG$17:$AG48))*$E$65,0)</f>
        <v>0</v>
      </c>
      <c r="AI49" s="157">
        <f t="shared" si="9"/>
        <v>0</v>
      </c>
      <c r="AJ49" s="153">
        <f t="shared" si="10"/>
        <v>0</v>
      </c>
      <c r="AK49" s="155">
        <f>(SUM($P$31,$P$51)-SUM($AU$17:AU48))*$O$109</f>
        <v>0</v>
      </c>
      <c r="AL49" s="160"/>
      <c r="AM49" s="154">
        <f t="shared" si="11"/>
        <v>0</v>
      </c>
      <c r="AN49" s="161"/>
      <c r="AO49" s="152">
        <f t="shared" si="12"/>
        <v>0</v>
      </c>
      <c r="AP49" s="153">
        <f t="shared" si="13"/>
        <v>0</v>
      </c>
      <c r="AQ49" s="153">
        <f t="shared" si="14"/>
        <v>0</v>
      </c>
      <c r="AR49" s="156">
        <f t="shared" si="15"/>
        <v>0</v>
      </c>
      <c r="AS49" s="157">
        <f t="shared" si="16"/>
        <v>0</v>
      </c>
      <c r="AT49" s="156">
        <f t="shared" si="17"/>
        <v>0</v>
      </c>
      <c r="AU49" s="156">
        <f t="shared" si="18"/>
        <v>0</v>
      </c>
      <c r="AV49" s="156">
        <f t="shared" si="19"/>
        <v>0</v>
      </c>
      <c r="AW49" s="156">
        <f t="shared" si="20"/>
        <v>0</v>
      </c>
      <c r="AX49" s="156">
        <f t="shared" si="21"/>
        <v>0</v>
      </c>
      <c r="AY49" s="156">
        <f t="shared" si="22"/>
        <v>0</v>
      </c>
      <c r="AZ49" s="156">
        <f>IF(AND(SUM($AQ$16:AQ48)&gt;0,SUM($AZ$16:AZ48)&lt;$P$62,$W49&gt;=$P$65),$P$64,0)</f>
        <v>0</v>
      </c>
      <c r="BA49" s="156">
        <f>IF(SUM($AQ$17:$AQ48)&gt;0,($P$62-SUM($AZ$17:$AZ48))*$F$65,0)</f>
        <v>0</v>
      </c>
      <c r="BB49" s="157">
        <f t="shared" si="23"/>
        <v>0</v>
      </c>
      <c r="BC49" s="153">
        <f t="shared" si="24"/>
        <v>0</v>
      </c>
      <c r="BD49" s="154">
        <f t="shared" si="25"/>
        <v>0</v>
      </c>
      <c r="BE49" s="48"/>
      <c r="BF49" s="47">
        <f t="shared" si="43"/>
        <v>0.32650787839359924</v>
      </c>
      <c r="BH49" s="152">
        <f t="shared" si="26"/>
        <v>0</v>
      </c>
      <c r="BI49" s="152">
        <f t="shared" si="27"/>
        <v>0</v>
      </c>
      <c r="BJ49" s="153">
        <f t="shared" si="28"/>
        <v>0</v>
      </c>
      <c r="BK49" s="153">
        <f t="shared" si="29"/>
        <v>0</v>
      </c>
      <c r="BL49" s="153">
        <f t="shared" si="30"/>
        <v>0</v>
      </c>
      <c r="BM49" s="156">
        <f t="shared" si="31"/>
        <v>0</v>
      </c>
      <c r="BN49" s="157">
        <f t="shared" si="32"/>
        <v>0</v>
      </c>
      <c r="BO49" s="153">
        <f t="shared" si="33"/>
        <v>0</v>
      </c>
      <c r="BP49" s="153">
        <f t="shared" si="34"/>
        <v>0</v>
      </c>
      <c r="BQ49" s="153">
        <f t="shared" si="35"/>
        <v>0</v>
      </c>
      <c r="BR49" s="153">
        <f t="shared" si="36"/>
        <v>0</v>
      </c>
      <c r="BS49" s="220">
        <f t="shared" si="37"/>
        <v>0</v>
      </c>
      <c r="BT49" s="153">
        <f t="shared" si="38"/>
        <v>0</v>
      </c>
      <c r="BU49" s="157">
        <f t="shared" si="39"/>
        <v>0</v>
      </c>
      <c r="BV49" s="157">
        <f t="shared" si="40"/>
        <v>0</v>
      </c>
      <c r="BW49" s="150"/>
      <c r="BX49" s="155">
        <f t="shared" si="41"/>
        <v>0</v>
      </c>
      <c r="BY49" s="273">
        <f t="shared" si="44"/>
        <v>0</v>
      </c>
    </row>
    <row r="50" spans="1:77" ht="15.75" customHeight="1" thickBot="1">
      <c r="C50" s="55" t="s">
        <v>141</v>
      </c>
      <c r="D50" t="s">
        <v>38</v>
      </c>
      <c r="F50" s="258">
        <v>0.95</v>
      </c>
      <c r="H50" s="55" t="s">
        <v>142</v>
      </c>
      <c r="M50" t="s">
        <v>143</v>
      </c>
      <c r="N50" s="19" t="s">
        <v>7</v>
      </c>
      <c r="O50" s="120"/>
      <c r="P50" s="121">
        <f>SUM(P82,P86)+P92</f>
        <v>0</v>
      </c>
      <c r="Q50" t="s">
        <v>144</v>
      </c>
      <c r="V50" s="57">
        <f t="shared" si="42"/>
        <v>57800</v>
      </c>
      <c r="W50" s="26">
        <v>34</v>
      </c>
      <c r="X50" s="269" t="str">
        <f t="shared" si="0"/>
        <v>-</v>
      </c>
      <c r="Y50" s="158">
        <f t="shared" si="1"/>
        <v>0</v>
      </c>
      <c r="Z50" s="156">
        <f t="shared" si="2"/>
        <v>0</v>
      </c>
      <c r="AA50" s="156">
        <f t="shared" si="3"/>
        <v>0</v>
      </c>
      <c r="AB50" s="156">
        <f t="shared" si="4"/>
        <v>0</v>
      </c>
      <c r="AC50" s="157">
        <f t="shared" si="5"/>
        <v>0</v>
      </c>
      <c r="AD50" s="158">
        <f t="shared" si="6"/>
        <v>0</v>
      </c>
      <c r="AE50" s="156">
        <f t="shared" si="7"/>
        <v>0</v>
      </c>
      <c r="AF50" s="156">
        <f t="shared" si="8"/>
        <v>0</v>
      </c>
      <c r="AG50" s="156">
        <f>IF(AND(SUM($AA$16:AA49)&gt;0,SUM($AG$16:AG49)&lt;$O$62,$W50&gt;=$O$65),$O$64,0)</f>
        <v>0</v>
      </c>
      <c r="AH50" s="220">
        <f>IF(SUM($AA$17:$AA49)&gt;0,($O$62-SUM($AG$17:$AG49))*$E$65,0)</f>
        <v>0</v>
      </c>
      <c r="AI50" s="157">
        <f t="shared" si="9"/>
        <v>0</v>
      </c>
      <c r="AJ50" s="153">
        <f t="shared" si="10"/>
        <v>0</v>
      </c>
      <c r="AK50" s="155">
        <f>(SUM($P$31,$P$51)-SUM($AU$17:AU49))*$O$109</f>
        <v>0</v>
      </c>
      <c r="AL50" s="160"/>
      <c r="AM50" s="154">
        <f t="shared" si="11"/>
        <v>0</v>
      </c>
      <c r="AN50" s="161"/>
      <c r="AO50" s="152">
        <f t="shared" si="12"/>
        <v>0</v>
      </c>
      <c r="AP50" s="153">
        <f t="shared" si="13"/>
        <v>0</v>
      </c>
      <c r="AQ50" s="153">
        <f t="shared" si="14"/>
        <v>0</v>
      </c>
      <c r="AR50" s="156">
        <f t="shared" si="15"/>
        <v>0</v>
      </c>
      <c r="AS50" s="157">
        <f t="shared" si="16"/>
        <v>0</v>
      </c>
      <c r="AT50" s="156">
        <f t="shared" si="17"/>
        <v>0</v>
      </c>
      <c r="AU50" s="156">
        <f t="shared" si="18"/>
        <v>0</v>
      </c>
      <c r="AV50" s="156">
        <f t="shared" si="19"/>
        <v>0</v>
      </c>
      <c r="AW50" s="156">
        <f t="shared" si="20"/>
        <v>0</v>
      </c>
      <c r="AX50" s="156">
        <f t="shared" si="21"/>
        <v>0</v>
      </c>
      <c r="AY50" s="156">
        <f t="shared" si="22"/>
        <v>0</v>
      </c>
      <c r="AZ50" s="156">
        <f>IF(AND(SUM($AQ$16:AQ49)&gt;0,SUM($AZ$16:AZ49)&lt;$P$62,$W50&gt;=$P$65),$P$64,0)</f>
        <v>0</v>
      </c>
      <c r="BA50" s="156">
        <f>IF(SUM($AQ$17:$AQ49)&gt;0,($P$62-SUM($AZ$17:$AZ49))*$F$65,0)</f>
        <v>0</v>
      </c>
      <c r="BB50" s="157">
        <f t="shared" si="23"/>
        <v>0</v>
      </c>
      <c r="BC50" s="153">
        <f t="shared" si="24"/>
        <v>0</v>
      </c>
      <c r="BD50" s="154">
        <f t="shared" si="25"/>
        <v>0</v>
      </c>
      <c r="BE50" s="48"/>
      <c r="BF50" s="47">
        <f t="shared" si="43"/>
        <v>0.31561902213011045</v>
      </c>
      <c r="BH50" s="152">
        <f t="shared" si="26"/>
        <v>0</v>
      </c>
      <c r="BI50" s="152">
        <f t="shared" si="27"/>
        <v>0</v>
      </c>
      <c r="BJ50" s="153">
        <f t="shared" si="28"/>
        <v>0</v>
      </c>
      <c r="BK50" s="153">
        <f t="shared" si="29"/>
        <v>0</v>
      </c>
      <c r="BL50" s="153">
        <f t="shared" si="30"/>
        <v>0</v>
      </c>
      <c r="BM50" s="156">
        <f t="shared" si="31"/>
        <v>0</v>
      </c>
      <c r="BN50" s="157">
        <f t="shared" si="32"/>
        <v>0</v>
      </c>
      <c r="BO50" s="153">
        <f t="shared" si="33"/>
        <v>0</v>
      </c>
      <c r="BP50" s="153">
        <f t="shared" si="34"/>
        <v>0</v>
      </c>
      <c r="BQ50" s="153">
        <f t="shared" si="35"/>
        <v>0</v>
      </c>
      <c r="BR50" s="153">
        <f t="shared" si="36"/>
        <v>0</v>
      </c>
      <c r="BS50" s="220">
        <f t="shared" si="37"/>
        <v>0</v>
      </c>
      <c r="BT50" s="153">
        <f t="shared" si="38"/>
        <v>0</v>
      </c>
      <c r="BU50" s="157">
        <f t="shared" si="39"/>
        <v>0</v>
      </c>
      <c r="BV50" s="157">
        <f t="shared" si="40"/>
        <v>0</v>
      </c>
      <c r="BW50" s="150"/>
      <c r="BX50" s="155">
        <f t="shared" si="41"/>
        <v>0</v>
      </c>
      <c r="BY50" s="273">
        <f t="shared" si="44"/>
        <v>0</v>
      </c>
    </row>
    <row r="51" spans="1:77" ht="15.75" customHeight="1" thickBot="1">
      <c r="B51" s="55"/>
      <c r="C51" s="55" t="s">
        <v>145</v>
      </c>
      <c r="D51" t="s">
        <v>38</v>
      </c>
      <c r="F51" s="194">
        <f>事業費用概算!H32</f>
        <v>0.05</v>
      </c>
      <c r="K51" s="122" t="s">
        <v>147</v>
      </c>
      <c r="L51" s="123"/>
      <c r="M51" s="123"/>
      <c r="N51" s="124" t="s">
        <v>7</v>
      </c>
      <c r="O51" s="125"/>
      <c r="P51" s="126">
        <f>SUM(P48:P49)*$F$47</f>
        <v>0</v>
      </c>
      <c r="Q51" t="s">
        <v>148</v>
      </c>
      <c r="V51" s="57">
        <f t="shared" si="42"/>
        <v>58165</v>
      </c>
      <c r="W51" s="26">
        <v>35</v>
      </c>
      <c r="X51" s="269" t="str">
        <f t="shared" si="0"/>
        <v>-</v>
      </c>
      <c r="Y51" s="158">
        <f t="shared" si="1"/>
        <v>0</v>
      </c>
      <c r="Z51" s="156">
        <f t="shared" si="2"/>
        <v>0</v>
      </c>
      <c r="AA51" s="156">
        <f t="shared" si="3"/>
        <v>0</v>
      </c>
      <c r="AB51" s="156">
        <f t="shared" si="4"/>
        <v>0</v>
      </c>
      <c r="AC51" s="157">
        <f t="shared" si="5"/>
        <v>0</v>
      </c>
      <c r="AD51" s="158">
        <f t="shared" si="6"/>
        <v>0</v>
      </c>
      <c r="AE51" s="156">
        <f t="shared" si="7"/>
        <v>0</v>
      </c>
      <c r="AF51" s="156">
        <f t="shared" si="8"/>
        <v>0</v>
      </c>
      <c r="AG51" s="156">
        <f>IF(AND(SUM($AA$16:AA50)&gt;0,SUM($AG$16:AG50)&lt;$O$62,$W51&gt;=$O$65),$O$64,0)</f>
        <v>0</v>
      </c>
      <c r="AH51" s="220">
        <f>IF(SUM($AA$17:$AA50)&gt;0,($O$62-SUM($AG$17:$AG50))*$E$65,0)</f>
        <v>0</v>
      </c>
      <c r="AI51" s="157">
        <f t="shared" si="9"/>
        <v>0</v>
      </c>
      <c r="AJ51" s="153">
        <f t="shared" si="10"/>
        <v>0</v>
      </c>
      <c r="AK51" s="155">
        <f>(SUM($P$31,$P$51)-SUM($AU$17:AU50))*$O$109</f>
        <v>0</v>
      </c>
      <c r="AL51" s="160"/>
      <c r="AM51" s="154">
        <f t="shared" si="11"/>
        <v>0</v>
      </c>
      <c r="AN51" s="161"/>
      <c r="AO51" s="152">
        <f t="shared" si="12"/>
        <v>0</v>
      </c>
      <c r="AP51" s="153">
        <f t="shared" si="13"/>
        <v>0</v>
      </c>
      <c r="AQ51" s="153">
        <f t="shared" si="14"/>
        <v>0</v>
      </c>
      <c r="AR51" s="156">
        <f t="shared" si="15"/>
        <v>0</v>
      </c>
      <c r="AS51" s="157">
        <f t="shared" si="16"/>
        <v>0</v>
      </c>
      <c r="AT51" s="156">
        <f t="shared" si="17"/>
        <v>0</v>
      </c>
      <c r="AU51" s="156">
        <f t="shared" si="18"/>
        <v>0</v>
      </c>
      <c r="AV51" s="156">
        <f t="shared" si="19"/>
        <v>0</v>
      </c>
      <c r="AW51" s="156">
        <f t="shared" si="20"/>
        <v>0</v>
      </c>
      <c r="AX51" s="156">
        <f t="shared" si="21"/>
        <v>0</v>
      </c>
      <c r="AY51" s="156">
        <f t="shared" si="22"/>
        <v>0</v>
      </c>
      <c r="AZ51" s="156">
        <f>IF(AND(SUM($AQ$16:AQ50)&gt;0,SUM($AZ$16:AZ50)&lt;$P$62,$W51&gt;=$P$65),$P$64,0)</f>
        <v>0</v>
      </c>
      <c r="BA51" s="156">
        <f>IF(SUM($AQ$17:$AQ50)&gt;0,($P$62-SUM($AZ$17:$AZ50))*$F$65,0)</f>
        <v>0</v>
      </c>
      <c r="BB51" s="157">
        <f t="shared" si="23"/>
        <v>0</v>
      </c>
      <c r="BC51" s="153">
        <f t="shared" si="24"/>
        <v>0</v>
      </c>
      <c r="BD51" s="154">
        <f t="shared" si="25"/>
        <v>0</v>
      </c>
      <c r="BE51" s="48"/>
      <c r="BF51" s="47">
        <f t="shared" si="43"/>
        <v>0.30509330317072059</v>
      </c>
      <c r="BH51" s="152">
        <f t="shared" si="26"/>
        <v>0</v>
      </c>
      <c r="BI51" s="152">
        <f t="shared" si="27"/>
        <v>0</v>
      </c>
      <c r="BJ51" s="153">
        <f t="shared" si="28"/>
        <v>0</v>
      </c>
      <c r="BK51" s="153">
        <f t="shared" si="29"/>
        <v>0</v>
      </c>
      <c r="BL51" s="153">
        <f t="shared" si="30"/>
        <v>0</v>
      </c>
      <c r="BM51" s="156">
        <f t="shared" si="31"/>
        <v>0</v>
      </c>
      <c r="BN51" s="157">
        <f t="shared" si="32"/>
        <v>0</v>
      </c>
      <c r="BO51" s="153">
        <f t="shared" si="33"/>
        <v>0</v>
      </c>
      <c r="BP51" s="153">
        <f t="shared" si="34"/>
        <v>0</v>
      </c>
      <c r="BQ51" s="153">
        <f t="shared" si="35"/>
        <v>0</v>
      </c>
      <c r="BR51" s="153">
        <f t="shared" si="36"/>
        <v>0</v>
      </c>
      <c r="BS51" s="220">
        <f t="shared" si="37"/>
        <v>0</v>
      </c>
      <c r="BT51" s="153">
        <f t="shared" si="38"/>
        <v>0</v>
      </c>
      <c r="BU51" s="157">
        <f t="shared" si="39"/>
        <v>0</v>
      </c>
      <c r="BV51" s="157">
        <f t="shared" si="40"/>
        <v>0</v>
      </c>
      <c r="BW51" s="150"/>
      <c r="BX51" s="155">
        <f t="shared" si="41"/>
        <v>0</v>
      </c>
      <c r="BY51" s="273">
        <f t="shared" si="44"/>
        <v>0</v>
      </c>
    </row>
    <row r="52" spans="1:77" ht="15.75" customHeight="1">
      <c r="B52" s="55"/>
      <c r="C52" s="55" t="s">
        <v>149</v>
      </c>
      <c r="D52" t="s">
        <v>38</v>
      </c>
      <c r="F52" s="194">
        <f>事業費用概算!H33</f>
        <v>0.05</v>
      </c>
      <c r="M52" t="s">
        <v>150</v>
      </c>
      <c r="N52" s="19" t="s">
        <v>7</v>
      </c>
      <c r="O52" s="127"/>
      <c r="P52" s="128">
        <f>F105</f>
        <v>0</v>
      </c>
      <c r="V52" s="57">
        <f t="shared" si="42"/>
        <v>58531</v>
      </c>
      <c r="W52" s="26">
        <v>36</v>
      </c>
      <c r="X52" s="269" t="str">
        <f t="shared" si="0"/>
        <v>-</v>
      </c>
      <c r="Y52" s="158">
        <f t="shared" si="1"/>
        <v>0</v>
      </c>
      <c r="Z52" s="156">
        <f t="shared" si="2"/>
        <v>0</v>
      </c>
      <c r="AA52" s="156">
        <f t="shared" si="3"/>
        <v>0</v>
      </c>
      <c r="AB52" s="156">
        <f t="shared" si="4"/>
        <v>0</v>
      </c>
      <c r="AC52" s="157">
        <f t="shared" si="5"/>
        <v>0</v>
      </c>
      <c r="AD52" s="158">
        <f t="shared" si="6"/>
        <v>0</v>
      </c>
      <c r="AE52" s="156">
        <f t="shared" si="7"/>
        <v>0</v>
      </c>
      <c r="AF52" s="156">
        <f t="shared" si="8"/>
        <v>0</v>
      </c>
      <c r="AG52" s="156">
        <f>IF(AND(SUM($AA$16:AA51)&gt;0,SUM($AG$16:AG51)&lt;$O$62,$W52&gt;=$O$65),$O$64,0)</f>
        <v>0</v>
      </c>
      <c r="AH52" s="220">
        <f>IF(SUM($AA$17:$AA51)&gt;0,($O$62-SUM($AG$17:$AG51))*$E$65,0)</f>
        <v>0</v>
      </c>
      <c r="AI52" s="157">
        <f t="shared" si="9"/>
        <v>0</v>
      </c>
      <c r="AJ52" s="153">
        <f t="shared" si="10"/>
        <v>0</v>
      </c>
      <c r="AK52" s="155">
        <f>(SUM($P$31,$P$51)-SUM($AU$17:AU51))*$O$109</f>
        <v>0</v>
      </c>
      <c r="AL52" s="160"/>
      <c r="AM52" s="154">
        <f t="shared" si="11"/>
        <v>0</v>
      </c>
      <c r="AN52" s="161"/>
      <c r="AO52" s="152">
        <f t="shared" si="12"/>
        <v>0</v>
      </c>
      <c r="AP52" s="153">
        <f t="shared" si="13"/>
        <v>0</v>
      </c>
      <c r="AQ52" s="153">
        <f t="shared" si="14"/>
        <v>0</v>
      </c>
      <c r="AR52" s="156">
        <f t="shared" si="15"/>
        <v>0</v>
      </c>
      <c r="AS52" s="157">
        <f t="shared" si="16"/>
        <v>0</v>
      </c>
      <c r="AT52" s="156">
        <f t="shared" si="17"/>
        <v>0</v>
      </c>
      <c r="AU52" s="156">
        <f t="shared" si="18"/>
        <v>0</v>
      </c>
      <c r="AV52" s="156">
        <f t="shared" si="19"/>
        <v>0</v>
      </c>
      <c r="AW52" s="156">
        <f t="shared" si="20"/>
        <v>0</v>
      </c>
      <c r="AX52" s="156">
        <f t="shared" si="21"/>
        <v>0</v>
      </c>
      <c r="AY52" s="156">
        <f t="shared" si="22"/>
        <v>0</v>
      </c>
      <c r="AZ52" s="156">
        <f>IF(AND(SUM($AQ$16:AQ51)&gt;0,SUM($AZ$16:AZ51)&lt;$P$62,$W52&gt;=$P$65),$P$64,0)</f>
        <v>0</v>
      </c>
      <c r="BA52" s="156">
        <f>IF(SUM($AQ$17:$AQ51)&gt;0,($P$62-SUM($AZ$17:$AZ51))*$F$65,0)</f>
        <v>0</v>
      </c>
      <c r="BB52" s="157">
        <f t="shared" si="23"/>
        <v>0</v>
      </c>
      <c r="BC52" s="153">
        <f t="shared" si="24"/>
        <v>0</v>
      </c>
      <c r="BD52" s="154">
        <f t="shared" si="25"/>
        <v>0</v>
      </c>
      <c r="BE52" s="48"/>
      <c r="BF52" s="47">
        <f t="shared" si="43"/>
        <v>0.29491861108817846</v>
      </c>
      <c r="BH52" s="152">
        <f t="shared" si="26"/>
        <v>0</v>
      </c>
      <c r="BI52" s="152">
        <f t="shared" si="27"/>
        <v>0</v>
      </c>
      <c r="BJ52" s="153">
        <f t="shared" si="28"/>
        <v>0</v>
      </c>
      <c r="BK52" s="153">
        <f t="shared" si="29"/>
        <v>0</v>
      </c>
      <c r="BL52" s="153">
        <f t="shared" si="30"/>
        <v>0</v>
      </c>
      <c r="BM52" s="156">
        <f t="shared" si="31"/>
        <v>0</v>
      </c>
      <c r="BN52" s="157">
        <f t="shared" si="32"/>
        <v>0</v>
      </c>
      <c r="BO52" s="153">
        <f t="shared" si="33"/>
        <v>0</v>
      </c>
      <c r="BP52" s="153">
        <f t="shared" si="34"/>
        <v>0</v>
      </c>
      <c r="BQ52" s="153">
        <f t="shared" si="35"/>
        <v>0</v>
      </c>
      <c r="BR52" s="153">
        <f t="shared" si="36"/>
        <v>0</v>
      </c>
      <c r="BS52" s="220">
        <f t="shared" si="37"/>
        <v>0</v>
      </c>
      <c r="BT52" s="153">
        <f t="shared" si="38"/>
        <v>0</v>
      </c>
      <c r="BU52" s="157">
        <f t="shared" si="39"/>
        <v>0</v>
      </c>
      <c r="BV52" s="157">
        <f t="shared" si="40"/>
        <v>0</v>
      </c>
      <c r="BW52" s="150"/>
      <c r="BX52" s="155">
        <f t="shared" si="41"/>
        <v>0</v>
      </c>
      <c r="BY52" s="273">
        <f t="shared" si="44"/>
        <v>0</v>
      </c>
    </row>
    <row r="53" spans="1:77" ht="15.75" customHeight="1" thickBot="1">
      <c r="M53" t="s">
        <v>151</v>
      </c>
      <c r="N53" s="19" t="s">
        <v>7</v>
      </c>
      <c r="O53" s="127"/>
      <c r="P53" s="129">
        <f>P94</f>
        <v>0</v>
      </c>
      <c r="V53" s="57">
        <f t="shared" si="42"/>
        <v>58896</v>
      </c>
      <c r="W53" s="26">
        <v>37</v>
      </c>
      <c r="X53" s="269" t="str">
        <f t="shared" si="0"/>
        <v>-</v>
      </c>
      <c r="Y53" s="158">
        <f t="shared" si="1"/>
        <v>0</v>
      </c>
      <c r="Z53" s="156">
        <f t="shared" si="2"/>
        <v>0</v>
      </c>
      <c r="AA53" s="156">
        <f t="shared" si="3"/>
        <v>0</v>
      </c>
      <c r="AB53" s="156">
        <f t="shared" si="4"/>
        <v>0</v>
      </c>
      <c r="AC53" s="157">
        <f t="shared" si="5"/>
        <v>0</v>
      </c>
      <c r="AD53" s="158">
        <f t="shared" si="6"/>
        <v>0</v>
      </c>
      <c r="AE53" s="156">
        <f t="shared" si="7"/>
        <v>0</v>
      </c>
      <c r="AF53" s="156">
        <f t="shared" si="8"/>
        <v>0</v>
      </c>
      <c r="AG53" s="156">
        <f>IF(AND(SUM($AA$16:AA52)&gt;0,SUM($AG$16:AG52)&lt;$O$62,$W53&gt;=$O$65),$O$64,0)</f>
        <v>0</v>
      </c>
      <c r="AH53" s="220">
        <f>IF(SUM($AA$17:$AA52)&gt;0,($O$62-SUM($AG$17:$AG52))*$E$65,0)</f>
        <v>0</v>
      </c>
      <c r="AI53" s="157">
        <f t="shared" si="9"/>
        <v>0</v>
      </c>
      <c r="AJ53" s="153">
        <f t="shared" si="10"/>
        <v>0</v>
      </c>
      <c r="AK53" s="155">
        <f>(SUM($P$31,$P$51)-SUM($AU$17:AU52))*$O$109</f>
        <v>0</v>
      </c>
      <c r="AL53" s="160"/>
      <c r="AM53" s="154">
        <f t="shared" si="11"/>
        <v>0</v>
      </c>
      <c r="AN53" s="161"/>
      <c r="AO53" s="152">
        <f t="shared" si="12"/>
        <v>0</v>
      </c>
      <c r="AP53" s="153">
        <f t="shared" si="13"/>
        <v>0</v>
      </c>
      <c r="AQ53" s="153">
        <f t="shared" si="14"/>
        <v>0</v>
      </c>
      <c r="AR53" s="156">
        <f t="shared" si="15"/>
        <v>0</v>
      </c>
      <c r="AS53" s="157">
        <f t="shared" si="16"/>
        <v>0</v>
      </c>
      <c r="AT53" s="156">
        <f t="shared" si="17"/>
        <v>0</v>
      </c>
      <c r="AU53" s="156">
        <f t="shared" si="18"/>
        <v>0</v>
      </c>
      <c r="AV53" s="156">
        <f t="shared" si="19"/>
        <v>0</v>
      </c>
      <c r="AW53" s="156">
        <f t="shared" si="20"/>
        <v>0</v>
      </c>
      <c r="AX53" s="156">
        <f t="shared" si="21"/>
        <v>0</v>
      </c>
      <c r="AY53" s="156">
        <f t="shared" si="22"/>
        <v>0</v>
      </c>
      <c r="AZ53" s="156">
        <f>IF(AND(SUM($AQ$16:AQ52)&gt;0,SUM($AZ$16:AZ52)&lt;$P$62,$W53&gt;=$P$65),$P$64,0)</f>
        <v>0</v>
      </c>
      <c r="BA53" s="156">
        <f>IF(SUM($AQ$17:$AQ52)&gt;0,($P$62-SUM($AZ$17:$AZ52))*$F$65,0)</f>
        <v>0</v>
      </c>
      <c r="BB53" s="157">
        <f t="shared" si="23"/>
        <v>0</v>
      </c>
      <c r="BC53" s="153">
        <f t="shared" si="24"/>
        <v>0</v>
      </c>
      <c r="BD53" s="154">
        <f t="shared" si="25"/>
        <v>0</v>
      </c>
      <c r="BE53" s="48"/>
      <c r="BF53" s="47">
        <f t="shared" si="43"/>
        <v>0.28508323933125035</v>
      </c>
      <c r="BH53" s="152">
        <f t="shared" si="26"/>
        <v>0</v>
      </c>
      <c r="BI53" s="152">
        <f t="shared" si="27"/>
        <v>0</v>
      </c>
      <c r="BJ53" s="153">
        <f t="shared" si="28"/>
        <v>0</v>
      </c>
      <c r="BK53" s="153">
        <f t="shared" si="29"/>
        <v>0</v>
      </c>
      <c r="BL53" s="153">
        <f t="shared" si="30"/>
        <v>0</v>
      </c>
      <c r="BM53" s="156">
        <f t="shared" si="31"/>
        <v>0</v>
      </c>
      <c r="BN53" s="157">
        <f t="shared" si="32"/>
        <v>0</v>
      </c>
      <c r="BO53" s="153">
        <f t="shared" si="33"/>
        <v>0</v>
      </c>
      <c r="BP53" s="153">
        <f t="shared" si="34"/>
        <v>0</v>
      </c>
      <c r="BQ53" s="153">
        <f t="shared" si="35"/>
        <v>0</v>
      </c>
      <c r="BR53" s="153">
        <f t="shared" si="36"/>
        <v>0</v>
      </c>
      <c r="BS53" s="220">
        <f t="shared" si="37"/>
        <v>0</v>
      </c>
      <c r="BT53" s="153">
        <f t="shared" si="38"/>
        <v>0</v>
      </c>
      <c r="BU53" s="157">
        <f t="shared" si="39"/>
        <v>0</v>
      </c>
      <c r="BV53" s="157">
        <f t="shared" si="40"/>
        <v>0</v>
      </c>
      <c r="BW53" s="150"/>
      <c r="BX53" s="155">
        <f t="shared" si="41"/>
        <v>0</v>
      </c>
      <c r="BY53" s="273">
        <f t="shared" si="44"/>
        <v>0</v>
      </c>
    </row>
    <row r="54" spans="1:77" ht="15.75" customHeight="1" thickBot="1">
      <c r="A54" s="4" t="s">
        <v>152</v>
      </c>
      <c r="K54" s="122" t="s">
        <v>153</v>
      </c>
      <c r="L54" s="123"/>
      <c r="M54" s="123"/>
      <c r="N54" s="124" t="s">
        <v>7</v>
      </c>
      <c r="O54" s="125"/>
      <c r="P54" s="126">
        <f>SUM(P52:P53)*$F$47</f>
        <v>0</v>
      </c>
      <c r="Q54" t="s">
        <v>154</v>
      </c>
      <c r="V54" s="57">
        <f t="shared" si="42"/>
        <v>59261</v>
      </c>
      <c r="W54" s="26">
        <v>38</v>
      </c>
      <c r="X54" s="269" t="str">
        <f t="shared" si="0"/>
        <v>-</v>
      </c>
      <c r="Y54" s="158">
        <f t="shared" si="1"/>
        <v>0</v>
      </c>
      <c r="Z54" s="156">
        <f t="shared" si="2"/>
        <v>0</v>
      </c>
      <c r="AA54" s="156">
        <f t="shared" si="3"/>
        <v>0</v>
      </c>
      <c r="AB54" s="156">
        <f t="shared" si="4"/>
        <v>0</v>
      </c>
      <c r="AC54" s="157">
        <f t="shared" si="5"/>
        <v>0</v>
      </c>
      <c r="AD54" s="158">
        <f t="shared" si="6"/>
        <v>0</v>
      </c>
      <c r="AE54" s="156">
        <f t="shared" si="7"/>
        <v>0</v>
      </c>
      <c r="AF54" s="156">
        <f t="shared" si="8"/>
        <v>0</v>
      </c>
      <c r="AG54" s="156">
        <f>IF(AND(SUM($AA$16:AA53)&gt;0,SUM($AG$16:AG53)&lt;$O$62,$W54&gt;=$O$65),$O$64,0)</f>
        <v>0</v>
      </c>
      <c r="AH54" s="220">
        <f>IF(SUM($AA$17:$AA53)&gt;0,($O$62-SUM($AG$17:$AG53))*$E$65,0)</f>
        <v>0</v>
      </c>
      <c r="AI54" s="157">
        <f t="shared" si="9"/>
        <v>0</v>
      </c>
      <c r="AJ54" s="153">
        <f t="shared" si="10"/>
        <v>0</v>
      </c>
      <c r="AK54" s="155">
        <f>(SUM($P$31,$P$51)-SUM($AU$17:AU53))*$O$109</f>
        <v>0</v>
      </c>
      <c r="AL54" s="160"/>
      <c r="AM54" s="154">
        <f t="shared" si="11"/>
        <v>0</v>
      </c>
      <c r="AN54" s="161"/>
      <c r="AO54" s="152">
        <f t="shared" si="12"/>
        <v>0</v>
      </c>
      <c r="AP54" s="153">
        <f t="shared" si="13"/>
        <v>0</v>
      </c>
      <c r="AQ54" s="153">
        <f t="shared" si="14"/>
        <v>0</v>
      </c>
      <c r="AR54" s="156">
        <f t="shared" si="15"/>
        <v>0</v>
      </c>
      <c r="AS54" s="157">
        <f t="shared" si="16"/>
        <v>0</v>
      </c>
      <c r="AT54" s="156">
        <f t="shared" si="17"/>
        <v>0</v>
      </c>
      <c r="AU54" s="156">
        <f t="shared" si="18"/>
        <v>0</v>
      </c>
      <c r="AV54" s="156">
        <f t="shared" si="19"/>
        <v>0</v>
      </c>
      <c r="AW54" s="156">
        <f t="shared" si="20"/>
        <v>0</v>
      </c>
      <c r="AX54" s="156">
        <f t="shared" si="21"/>
        <v>0</v>
      </c>
      <c r="AY54" s="156">
        <f t="shared" si="22"/>
        <v>0</v>
      </c>
      <c r="AZ54" s="156">
        <f>IF(AND(SUM($AQ$16:AQ53)&gt;0,SUM($AZ$16:AZ53)&lt;$P$62,$W54&gt;=$P$65),$P$64,0)</f>
        <v>0</v>
      </c>
      <c r="BA54" s="156">
        <f>IF(SUM($AQ$17:$AQ53)&gt;0,($P$62-SUM($AZ$17:$AZ53))*$F$65,0)</f>
        <v>0</v>
      </c>
      <c r="BB54" s="157">
        <f t="shared" si="23"/>
        <v>0</v>
      </c>
      <c r="BC54" s="153">
        <f t="shared" si="24"/>
        <v>0</v>
      </c>
      <c r="BD54" s="154">
        <f t="shared" si="25"/>
        <v>0</v>
      </c>
      <c r="BE54" s="48"/>
      <c r="BF54" s="47">
        <f t="shared" si="43"/>
        <v>0.27557587175567944</v>
      </c>
      <c r="BH54" s="152">
        <f t="shared" si="26"/>
        <v>0</v>
      </c>
      <c r="BI54" s="152">
        <f t="shared" si="27"/>
        <v>0</v>
      </c>
      <c r="BJ54" s="153">
        <f t="shared" si="28"/>
        <v>0</v>
      </c>
      <c r="BK54" s="153">
        <f t="shared" si="29"/>
        <v>0</v>
      </c>
      <c r="BL54" s="153">
        <f t="shared" si="30"/>
        <v>0</v>
      </c>
      <c r="BM54" s="156">
        <f t="shared" si="31"/>
        <v>0</v>
      </c>
      <c r="BN54" s="157">
        <f t="shared" si="32"/>
        <v>0</v>
      </c>
      <c r="BO54" s="153">
        <f t="shared" si="33"/>
        <v>0</v>
      </c>
      <c r="BP54" s="153">
        <f t="shared" si="34"/>
        <v>0</v>
      </c>
      <c r="BQ54" s="153">
        <f t="shared" si="35"/>
        <v>0</v>
      </c>
      <c r="BR54" s="153">
        <f t="shared" si="36"/>
        <v>0</v>
      </c>
      <c r="BS54" s="220">
        <f t="shared" si="37"/>
        <v>0</v>
      </c>
      <c r="BT54" s="153">
        <f t="shared" si="38"/>
        <v>0</v>
      </c>
      <c r="BU54" s="157">
        <f t="shared" si="39"/>
        <v>0</v>
      </c>
      <c r="BV54" s="157">
        <f t="shared" si="40"/>
        <v>0</v>
      </c>
      <c r="BW54" s="150"/>
      <c r="BX54" s="155">
        <f t="shared" si="41"/>
        <v>0</v>
      </c>
      <c r="BY54" s="273">
        <f t="shared" si="44"/>
        <v>0</v>
      </c>
    </row>
    <row r="55" spans="1:77" ht="15.75" customHeight="1">
      <c r="V55" s="57">
        <f t="shared" si="42"/>
        <v>59626</v>
      </c>
      <c r="W55" s="26">
        <v>39</v>
      </c>
      <c r="X55" s="269" t="str">
        <f t="shared" si="0"/>
        <v>-</v>
      </c>
      <c r="Y55" s="158">
        <f t="shared" si="1"/>
        <v>0</v>
      </c>
      <c r="Z55" s="156">
        <f t="shared" si="2"/>
        <v>0</v>
      </c>
      <c r="AA55" s="156">
        <f t="shared" si="3"/>
        <v>0</v>
      </c>
      <c r="AB55" s="156">
        <f t="shared" si="4"/>
        <v>0</v>
      </c>
      <c r="AC55" s="157">
        <f t="shared" si="5"/>
        <v>0</v>
      </c>
      <c r="AD55" s="158">
        <f t="shared" si="6"/>
        <v>0</v>
      </c>
      <c r="AE55" s="156">
        <f t="shared" si="7"/>
        <v>0</v>
      </c>
      <c r="AF55" s="156">
        <f t="shared" si="8"/>
        <v>0</v>
      </c>
      <c r="AG55" s="156">
        <f>IF(AND(SUM($AA$16:AA54)&gt;0,SUM($AG$16:AG54)&lt;$O$62,$W55&gt;=$O$65),$O$64,0)</f>
        <v>0</v>
      </c>
      <c r="AH55" s="220">
        <f>IF(SUM($AA$17:$AA54)&gt;0,($O$62-SUM($AG$17:$AG54))*$E$65,0)</f>
        <v>0</v>
      </c>
      <c r="AI55" s="157">
        <f t="shared" si="9"/>
        <v>0</v>
      </c>
      <c r="AJ55" s="153">
        <f t="shared" si="10"/>
        <v>0</v>
      </c>
      <c r="AK55" s="155">
        <f>(SUM($P$31,$P$51)-SUM($AU$17:AU54))*$O$109</f>
        <v>0</v>
      </c>
      <c r="AL55" s="160"/>
      <c r="AM55" s="154">
        <f t="shared" si="11"/>
        <v>0</v>
      </c>
      <c r="AN55" s="161"/>
      <c r="AO55" s="152">
        <f t="shared" si="12"/>
        <v>0</v>
      </c>
      <c r="AP55" s="153">
        <f t="shared" si="13"/>
        <v>0</v>
      </c>
      <c r="AQ55" s="153">
        <f t="shared" si="14"/>
        <v>0</v>
      </c>
      <c r="AR55" s="156">
        <f t="shared" si="15"/>
        <v>0</v>
      </c>
      <c r="AS55" s="157">
        <f t="shared" si="16"/>
        <v>0</v>
      </c>
      <c r="AT55" s="156">
        <f t="shared" si="17"/>
        <v>0</v>
      </c>
      <c r="AU55" s="156">
        <f t="shared" si="18"/>
        <v>0</v>
      </c>
      <c r="AV55" s="156">
        <f t="shared" si="19"/>
        <v>0</v>
      </c>
      <c r="AW55" s="156">
        <f t="shared" si="20"/>
        <v>0</v>
      </c>
      <c r="AX55" s="156">
        <f t="shared" si="21"/>
        <v>0</v>
      </c>
      <c r="AY55" s="156">
        <f t="shared" si="22"/>
        <v>0</v>
      </c>
      <c r="AZ55" s="156">
        <f>IF(AND(SUM($AQ$16:AQ54)&gt;0,SUM($AZ$16:AZ54)&lt;$P$62,$W55&gt;=$P$65),$P$64,0)</f>
        <v>0</v>
      </c>
      <c r="BA55" s="156">
        <f>IF(SUM($AQ$17:$AQ54)&gt;0,($P$62-SUM($AZ$17:$AZ54))*$F$65,0)</f>
        <v>0</v>
      </c>
      <c r="BB55" s="157">
        <f t="shared" si="23"/>
        <v>0</v>
      </c>
      <c r="BC55" s="153">
        <f t="shared" si="24"/>
        <v>0</v>
      </c>
      <c r="BD55" s="154">
        <f t="shared" si="25"/>
        <v>0</v>
      </c>
      <c r="BE55" s="48"/>
      <c r="BF55" s="47">
        <f t="shared" si="43"/>
        <v>0.26638556960433007</v>
      </c>
      <c r="BH55" s="152">
        <f t="shared" si="26"/>
        <v>0</v>
      </c>
      <c r="BI55" s="152">
        <f t="shared" si="27"/>
        <v>0</v>
      </c>
      <c r="BJ55" s="153">
        <f t="shared" si="28"/>
        <v>0</v>
      </c>
      <c r="BK55" s="153">
        <f t="shared" si="29"/>
        <v>0</v>
      </c>
      <c r="BL55" s="153">
        <f t="shared" si="30"/>
        <v>0</v>
      </c>
      <c r="BM55" s="156">
        <f t="shared" si="31"/>
        <v>0</v>
      </c>
      <c r="BN55" s="157">
        <f t="shared" si="32"/>
        <v>0</v>
      </c>
      <c r="BO55" s="153">
        <f t="shared" si="33"/>
        <v>0</v>
      </c>
      <c r="BP55" s="153">
        <f t="shared" si="34"/>
        <v>0</v>
      </c>
      <c r="BQ55" s="153">
        <f t="shared" si="35"/>
        <v>0</v>
      </c>
      <c r="BR55" s="153">
        <f t="shared" si="36"/>
        <v>0</v>
      </c>
      <c r="BS55" s="220">
        <f t="shared" si="37"/>
        <v>0</v>
      </c>
      <c r="BT55" s="153">
        <f t="shared" si="38"/>
        <v>0</v>
      </c>
      <c r="BU55" s="157">
        <f t="shared" si="39"/>
        <v>0</v>
      </c>
      <c r="BV55" s="157">
        <f t="shared" si="40"/>
        <v>0</v>
      </c>
      <c r="BW55" s="150"/>
      <c r="BX55" s="155">
        <f t="shared" si="41"/>
        <v>0</v>
      </c>
      <c r="BY55" s="273">
        <f t="shared" si="44"/>
        <v>0</v>
      </c>
    </row>
    <row r="56" spans="1:77" ht="15.75" customHeight="1">
      <c r="C56" s="55" t="s">
        <v>155</v>
      </c>
      <c r="D56" t="s">
        <v>7</v>
      </c>
      <c r="F56" s="1">
        <v>0</v>
      </c>
      <c r="V56" s="57">
        <f t="shared" si="42"/>
        <v>59992</v>
      </c>
      <c r="W56" s="26">
        <v>40</v>
      </c>
      <c r="X56" s="269" t="str">
        <f t="shared" si="0"/>
        <v>-</v>
      </c>
      <c r="Y56" s="158">
        <f t="shared" si="1"/>
        <v>0</v>
      </c>
      <c r="Z56" s="156">
        <f t="shared" si="2"/>
        <v>0</v>
      </c>
      <c r="AA56" s="156">
        <f t="shared" si="3"/>
        <v>0</v>
      </c>
      <c r="AB56" s="156">
        <f t="shared" si="4"/>
        <v>0</v>
      </c>
      <c r="AC56" s="157">
        <f t="shared" si="5"/>
        <v>0</v>
      </c>
      <c r="AD56" s="158">
        <f t="shared" si="6"/>
        <v>0</v>
      </c>
      <c r="AE56" s="156">
        <f t="shared" si="7"/>
        <v>0</v>
      </c>
      <c r="AF56" s="156">
        <f t="shared" si="8"/>
        <v>0</v>
      </c>
      <c r="AG56" s="156">
        <f>IF(AND(SUM($AA$16:AA55)&gt;0,SUM($AG$16:AG55)&lt;$O$62,$W56&gt;=$O$65),$O$64,0)</f>
        <v>0</v>
      </c>
      <c r="AH56" s="220">
        <f>IF(SUM($AA$17:$AA55)&gt;0,($O$62-SUM($AG$17:$AG55))*$E$65,0)</f>
        <v>0</v>
      </c>
      <c r="AI56" s="157">
        <f t="shared" si="9"/>
        <v>0</v>
      </c>
      <c r="AJ56" s="153">
        <f t="shared" si="10"/>
        <v>0</v>
      </c>
      <c r="AK56" s="155">
        <f>(SUM($P$31,$P$51)-SUM($AU$17:AU55))*$O$109</f>
        <v>0</v>
      </c>
      <c r="AL56" s="160"/>
      <c r="AM56" s="154">
        <f t="shared" si="11"/>
        <v>0</v>
      </c>
      <c r="AN56" s="161"/>
      <c r="AO56" s="152">
        <f t="shared" si="12"/>
        <v>0</v>
      </c>
      <c r="AP56" s="153">
        <f t="shared" si="13"/>
        <v>0</v>
      </c>
      <c r="AQ56" s="153">
        <f t="shared" si="14"/>
        <v>0</v>
      </c>
      <c r="AR56" s="156">
        <f t="shared" si="15"/>
        <v>0</v>
      </c>
      <c r="AS56" s="157">
        <f t="shared" si="16"/>
        <v>0</v>
      </c>
      <c r="AT56" s="156">
        <f t="shared" si="17"/>
        <v>0</v>
      </c>
      <c r="AU56" s="156">
        <f t="shared" si="18"/>
        <v>0</v>
      </c>
      <c r="AV56" s="156">
        <f t="shared" si="19"/>
        <v>0</v>
      </c>
      <c r="AW56" s="156">
        <f t="shared" si="20"/>
        <v>0</v>
      </c>
      <c r="AX56" s="156">
        <f t="shared" si="21"/>
        <v>0</v>
      </c>
      <c r="AY56" s="156">
        <f t="shared" si="22"/>
        <v>0</v>
      </c>
      <c r="AZ56" s="156">
        <f>IF(AND(SUM($AQ$16:AQ55)&gt;0,SUM($AZ$16:AZ55)&lt;$P$62,$W56&gt;=$P$65),$P$64,0)</f>
        <v>0</v>
      </c>
      <c r="BA56" s="156">
        <f>IF(SUM($AQ$17:$AQ55)&gt;0,($P$62-SUM($AZ$17:$AZ55))*$F$65,0)</f>
        <v>0</v>
      </c>
      <c r="BB56" s="157">
        <f t="shared" si="23"/>
        <v>0</v>
      </c>
      <c r="BC56" s="153">
        <f t="shared" si="24"/>
        <v>0</v>
      </c>
      <c r="BD56" s="154">
        <f t="shared" si="25"/>
        <v>0</v>
      </c>
      <c r="BE56" s="48"/>
      <c r="BF56" s="47">
        <f t="shared" si="43"/>
        <v>0.25750175892153704</v>
      </c>
      <c r="BH56" s="152">
        <f t="shared" si="26"/>
        <v>0</v>
      </c>
      <c r="BI56" s="152">
        <f t="shared" si="27"/>
        <v>0</v>
      </c>
      <c r="BJ56" s="153">
        <f t="shared" si="28"/>
        <v>0</v>
      </c>
      <c r="BK56" s="153">
        <f t="shared" si="29"/>
        <v>0</v>
      </c>
      <c r="BL56" s="153">
        <f t="shared" si="30"/>
        <v>0</v>
      </c>
      <c r="BM56" s="156">
        <f t="shared" si="31"/>
        <v>0</v>
      </c>
      <c r="BN56" s="157">
        <f t="shared" si="32"/>
        <v>0</v>
      </c>
      <c r="BO56" s="153">
        <f t="shared" si="33"/>
        <v>0</v>
      </c>
      <c r="BP56" s="153">
        <f t="shared" si="34"/>
        <v>0</v>
      </c>
      <c r="BQ56" s="153">
        <f t="shared" si="35"/>
        <v>0</v>
      </c>
      <c r="BR56" s="153">
        <f t="shared" si="36"/>
        <v>0</v>
      </c>
      <c r="BS56" s="220">
        <f t="shared" si="37"/>
        <v>0</v>
      </c>
      <c r="BT56" s="153">
        <f t="shared" si="38"/>
        <v>0</v>
      </c>
      <c r="BU56" s="157">
        <f t="shared" si="39"/>
        <v>0</v>
      </c>
      <c r="BV56" s="157">
        <f t="shared" si="40"/>
        <v>0</v>
      </c>
      <c r="BW56" s="150"/>
      <c r="BX56" s="155">
        <f t="shared" si="41"/>
        <v>0</v>
      </c>
      <c r="BY56" s="273">
        <f t="shared" si="44"/>
        <v>0</v>
      </c>
    </row>
    <row r="57" spans="1:77" ht="15.75" customHeight="1" thickBot="1">
      <c r="Y57" s="162"/>
      <c r="Z57" s="162"/>
      <c r="AA57" s="150"/>
      <c r="AB57" s="150"/>
      <c r="AC57" s="150"/>
      <c r="AD57" s="150"/>
      <c r="AE57" s="150"/>
      <c r="AF57" s="150"/>
      <c r="AG57" s="156"/>
      <c r="AH57" s="153"/>
      <c r="AI57" s="150"/>
      <c r="AJ57" s="150"/>
      <c r="AK57" s="163"/>
      <c r="AL57" s="163"/>
      <c r="AM57" s="163"/>
      <c r="AN57" s="163"/>
      <c r="AO57" s="163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H57" s="150"/>
      <c r="BI57" s="150"/>
      <c r="BJ57" s="150"/>
      <c r="BK57" s="150"/>
      <c r="BL57" s="150"/>
      <c r="BM57" s="150"/>
      <c r="BN57" s="150"/>
      <c r="BO57" s="150"/>
      <c r="BP57" s="150"/>
      <c r="BQ57" s="150"/>
      <c r="BR57" s="150"/>
      <c r="BS57" s="150"/>
      <c r="BT57" s="150"/>
      <c r="BU57" s="150"/>
      <c r="BV57" s="150"/>
      <c r="BW57" s="150"/>
      <c r="BX57" s="150"/>
    </row>
    <row r="58" spans="1:77" ht="15.75" customHeight="1" thickTop="1">
      <c r="A58" s="4" t="s">
        <v>156</v>
      </c>
      <c r="E58" t="s">
        <v>2</v>
      </c>
      <c r="F58" t="s">
        <v>50</v>
      </c>
      <c r="J58" s="4" t="s">
        <v>156</v>
      </c>
      <c r="X58" s="142" t="s">
        <v>10</v>
      </c>
      <c r="Y58" s="225">
        <f t="shared" ref="Y58:AK58" si="45">SUM(Y16:Y56)</f>
        <v>1140</v>
      </c>
      <c r="Z58" s="225">
        <f t="shared" si="45"/>
        <v>384.75</v>
      </c>
      <c r="AA58" s="225">
        <f t="shared" si="45"/>
        <v>1282.5</v>
      </c>
      <c r="AB58" s="225">
        <f t="shared" si="45"/>
        <v>0</v>
      </c>
      <c r="AC58" s="225">
        <f t="shared" si="45"/>
        <v>1524.75</v>
      </c>
      <c r="AD58" s="225">
        <f t="shared" si="45"/>
        <v>2850</v>
      </c>
      <c r="AE58" s="225">
        <f t="shared" si="45"/>
        <v>1000</v>
      </c>
      <c r="AF58" s="225">
        <f t="shared" si="45"/>
        <v>230</v>
      </c>
      <c r="AG58" s="225">
        <f t="shared" si="45"/>
        <v>1282.5</v>
      </c>
      <c r="AH58" s="225">
        <f t="shared" si="45"/>
        <v>259.70625000000001</v>
      </c>
      <c r="AI58" s="225">
        <f t="shared" si="45"/>
        <v>4080</v>
      </c>
      <c r="AJ58" s="232">
        <f t="shared" si="45"/>
        <v>-2555.25</v>
      </c>
      <c r="AK58" s="232">
        <f t="shared" si="45"/>
        <v>0</v>
      </c>
      <c r="AL58" s="225">
        <f>SUM(AJ58,AL16)</f>
        <v>-2555.25</v>
      </c>
      <c r="AM58" s="232">
        <f>SUM(AM16:AM56)</f>
        <v>-1998.8152830902459</v>
      </c>
      <c r="AN58" s="163"/>
      <c r="AO58" s="225">
        <f t="shared" ref="AO58:BD58" si="46">SUM(AO16:AO56)</f>
        <v>1140</v>
      </c>
      <c r="AP58" s="225">
        <f t="shared" si="46"/>
        <v>384.75</v>
      </c>
      <c r="AQ58" s="225">
        <f t="shared" si="46"/>
        <v>1282.5</v>
      </c>
      <c r="AR58" s="225">
        <f t="shared" si="46"/>
        <v>0</v>
      </c>
      <c r="AS58" s="225">
        <f t="shared" si="46"/>
        <v>1524.75</v>
      </c>
      <c r="AT58" s="225">
        <f t="shared" si="46"/>
        <v>2850</v>
      </c>
      <c r="AU58" s="225">
        <f t="shared" si="46"/>
        <v>0</v>
      </c>
      <c r="AV58" s="225">
        <f t="shared" si="46"/>
        <v>0</v>
      </c>
      <c r="AW58" s="225">
        <f t="shared" si="46"/>
        <v>950</v>
      </c>
      <c r="AX58" s="225">
        <f t="shared" si="46"/>
        <v>163</v>
      </c>
      <c r="AY58" s="225">
        <f t="shared" si="46"/>
        <v>0</v>
      </c>
      <c r="AZ58" s="225">
        <f t="shared" si="46"/>
        <v>1282.5</v>
      </c>
      <c r="BA58" s="225">
        <f t="shared" si="46"/>
        <v>259.70625000000001</v>
      </c>
      <c r="BB58" s="225">
        <f t="shared" si="46"/>
        <v>3963</v>
      </c>
      <c r="BC58" s="232">
        <f t="shared" si="46"/>
        <v>-2438.25</v>
      </c>
      <c r="BD58" s="232">
        <f t="shared" si="46"/>
        <v>-1927.9426087079214</v>
      </c>
      <c r="BH58" s="225">
        <f t="shared" ref="BH58:BV58" si="47">SUM(BH16:BH56)</f>
        <v>2850</v>
      </c>
      <c r="BI58" s="225">
        <f t="shared" si="47"/>
        <v>0</v>
      </c>
      <c r="BJ58" s="225">
        <f t="shared" si="47"/>
        <v>0</v>
      </c>
      <c r="BK58" s="225">
        <f t="shared" si="47"/>
        <v>950</v>
      </c>
      <c r="BL58" s="225">
        <f t="shared" si="47"/>
        <v>0</v>
      </c>
      <c r="BM58" s="225">
        <f t="shared" si="47"/>
        <v>0</v>
      </c>
      <c r="BN58" s="225">
        <f t="shared" si="47"/>
        <v>3800</v>
      </c>
      <c r="BO58" s="225">
        <f t="shared" si="47"/>
        <v>2850</v>
      </c>
      <c r="BP58" s="225">
        <f t="shared" si="47"/>
        <v>950</v>
      </c>
      <c r="BQ58" s="225">
        <f t="shared" si="47"/>
        <v>0</v>
      </c>
      <c r="BR58" s="225">
        <f t="shared" si="47"/>
        <v>0</v>
      </c>
      <c r="BS58" s="225">
        <f t="shared" si="47"/>
        <v>0</v>
      </c>
      <c r="BT58" s="225">
        <f t="shared" si="47"/>
        <v>0</v>
      </c>
      <c r="BU58" s="225">
        <f t="shared" si="47"/>
        <v>3800</v>
      </c>
      <c r="BV58" s="225">
        <f t="shared" si="47"/>
        <v>0</v>
      </c>
      <c r="BW58" s="163"/>
      <c r="BX58" s="165">
        <f>SUM(BX16:BX56)</f>
        <v>0</v>
      </c>
    </row>
    <row r="59" spans="1:77" ht="15.75" customHeight="1">
      <c r="B59" t="s">
        <v>157</v>
      </c>
      <c r="C59" t="s">
        <v>158</v>
      </c>
      <c r="D59" t="s">
        <v>7</v>
      </c>
      <c r="E59" s="21">
        <f>O62</f>
        <v>1282.5</v>
      </c>
      <c r="F59" s="21">
        <f>P62</f>
        <v>1282.5</v>
      </c>
      <c r="J59" s="4" t="s">
        <v>157</v>
      </c>
      <c r="O59" t="s">
        <v>2</v>
      </c>
      <c r="P59" t="s">
        <v>50</v>
      </c>
      <c r="AA59"/>
      <c r="AB59"/>
      <c r="AC59"/>
      <c r="AD59"/>
      <c r="AE59"/>
      <c r="AF59"/>
      <c r="AG59"/>
      <c r="AH59"/>
      <c r="AI59"/>
      <c r="AJ59"/>
      <c r="AK59"/>
      <c r="AL59" s="31" t="s">
        <v>159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</row>
    <row r="60" spans="1:77" ht="15.75" customHeight="1">
      <c r="C60" t="s">
        <v>160</v>
      </c>
      <c r="D60" t="s">
        <v>38</v>
      </c>
      <c r="E60" s="138">
        <v>0.4</v>
      </c>
      <c r="F60" s="138">
        <v>0.4</v>
      </c>
      <c r="K60" t="s">
        <v>161</v>
      </c>
      <c r="N60" s="19" t="s">
        <v>7</v>
      </c>
      <c r="O60" s="51">
        <f>O29</f>
        <v>2850</v>
      </c>
      <c r="P60" s="51">
        <f>P29</f>
        <v>2850</v>
      </c>
      <c r="AL60" s="31" t="s">
        <v>162</v>
      </c>
      <c r="BY60"/>
    </row>
    <row r="61" spans="1:77" ht="10.5" customHeight="1">
      <c r="C61" t="s">
        <v>163</v>
      </c>
      <c r="D61" t="s">
        <v>38</v>
      </c>
      <c r="E61" s="3">
        <v>0.3</v>
      </c>
      <c r="F61" s="3">
        <v>0.3</v>
      </c>
      <c r="K61" t="s">
        <v>62</v>
      </c>
      <c r="N61" s="19" t="s">
        <v>7</v>
      </c>
      <c r="O61" s="51">
        <f>O60*$F$60</f>
        <v>1140</v>
      </c>
      <c r="P61" s="51">
        <f>P60*$F$60</f>
        <v>1140</v>
      </c>
      <c r="V61" s="19"/>
    </row>
    <row r="62" spans="1:77" ht="15.75" customHeight="1">
      <c r="C62" s="265" t="s">
        <v>164</v>
      </c>
      <c r="D62" t="s">
        <v>38</v>
      </c>
      <c r="E62" s="3">
        <v>0.75</v>
      </c>
      <c r="F62" s="3">
        <v>0.75</v>
      </c>
      <c r="J62" s="4"/>
      <c r="K62" t="s">
        <v>165</v>
      </c>
      <c r="N62" s="19" t="s">
        <v>7</v>
      </c>
      <c r="O62" s="51">
        <f>(O60-O61)*$F$62</f>
        <v>1282.5</v>
      </c>
      <c r="P62" s="51">
        <f>(P30-P61)*$F$62</f>
        <v>1282.5</v>
      </c>
      <c r="V62" s="19"/>
    </row>
    <row r="63" spans="1:77" ht="15.75" customHeight="1">
      <c r="C63" t="s">
        <v>166</v>
      </c>
      <c r="D63" t="s">
        <v>91</v>
      </c>
      <c r="E63" s="1">
        <v>3</v>
      </c>
      <c r="F63" s="1">
        <v>3</v>
      </c>
      <c r="K63" t="s">
        <v>167</v>
      </c>
      <c r="N63" s="19" t="s">
        <v>7</v>
      </c>
      <c r="O63" s="51">
        <f>O62*$F$61</f>
        <v>384.75</v>
      </c>
      <c r="P63" s="51">
        <f>P62*$F$61</f>
        <v>384.75</v>
      </c>
      <c r="V63" s="19"/>
    </row>
    <row r="64" spans="1:77" ht="15.75" customHeight="1">
      <c r="C64" s="55" t="s">
        <v>168</v>
      </c>
      <c r="D64" t="s">
        <v>91</v>
      </c>
      <c r="E64" s="1">
        <v>20</v>
      </c>
      <c r="F64" s="1">
        <v>20</v>
      </c>
      <c r="K64" t="s">
        <v>169</v>
      </c>
      <c r="N64" s="19" t="s">
        <v>7</v>
      </c>
      <c r="O64" s="51">
        <f>O62/$F$64</f>
        <v>64.125</v>
      </c>
      <c r="P64" s="51">
        <f>P62/$F$64</f>
        <v>64.125</v>
      </c>
      <c r="V64" s="19"/>
    </row>
    <row r="65" spans="1:23" ht="15.75" customHeight="1">
      <c r="C65" s="55" t="s">
        <v>170</v>
      </c>
      <c r="D65" t="s">
        <v>38</v>
      </c>
      <c r="E65" s="53">
        <v>1.4999999999999999E-2</v>
      </c>
      <c r="F65" s="53">
        <v>1.4999999999999999E-2</v>
      </c>
      <c r="K65" t="s">
        <v>171</v>
      </c>
      <c r="N65" s="19" t="s">
        <v>172</v>
      </c>
      <c r="O65" s="51">
        <f>$F$16+E63+1</f>
        <v>7</v>
      </c>
      <c r="P65" s="51">
        <f>$F$16+F63+1</f>
        <v>7</v>
      </c>
    </row>
    <row r="66" spans="1:23" ht="15.75" customHeight="1">
      <c r="B66" t="s">
        <v>173</v>
      </c>
      <c r="C66" s="19"/>
      <c r="J66" s="4" t="s">
        <v>173</v>
      </c>
      <c r="P66" t="s">
        <v>50</v>
      </c>
    </row>
    <row r="67" spans="1:23" ht="15.75" customHeight="1">
      <c r="E67" t="s">
        <v>2</v>
      </c>
      <c r="F67" t="s">
        <v>50</v>
      </c>
      <c r="K67" t="s">
        <v>174</v>
      </c>
      <c r="O67" s="19"/>
      <c r="P67" s="109">
        <f>SUM(F69:F70)</f>
        <v>0</v>
      </c>
    </row>
    <row r="68" spans="1:23" ht="15.75" customHeight="1">
      <c r="C68" t="s">
        <v>158</v>
      </c>
      <c r="D68" t="s">
        <v>7</v>
      </c>
      <c r="F68" s="21">
        <f>P31</f>
        <v>0</v>
      </c>
    </row>
    <row r="69" spans="1:23" ht="15.75" customHeight="1">
      <c r="C69" t="s">
        <v>114</v>
      </c>
      <c r="D69" t="s">
        <v>38</v>
      </c>
      <c r="F69" s="17"/>
      <c r="H69" s="71" t="s">
        <v>175</v>
      </c>
    </row>
    <row r="70" spans="1:23" ht="15.75" customHeight="1">
      <c r="C70" t="s">
        <v>119</v>
      </c>
      <c r="D70" t="s">
        <v>38</v>
      </c>
      <c r="F70" s="18"/>
      <c r="H70" s="147" t="s">
        <v>175</v>
      </c>
    </row>
    <row r="71" spans="1:23" ht="15.75" customHeight="1">
      <c r="C71" s="55" t="s">
        <v>176</v>
      </c>
      <c r="D71" t="s">
        <v>38</v>
      </c>
    </row>
    <row r="72" spans="1:23" ht="15.75" customHeight="1">
      <c r="A72" s="4" t="s">
        <v>177</v>
      </c>
      <c r="J72" s="4" t="s">
        <v>177</v>
      </c>
      <c r="O72" s="19"/>
      <c r="P72" s="19"/>
      <c r="R72" s="4" t="s">
        <v>178</v>
      </c>
      <c r="S72" s="4"/>
      <c r="T72" s="4"/>
    </row>
    <row r="73" spans="1:23" ht="15.75" customHeight="1">
      <c r="C73" t="s">
        <v>179</v>
      </c>
      <c r="O73" s="19"/>
      <c r="P73" s="5" t="s">
        <v>179</v>
      </c>
      <c r="U73" s="4" t="s">
        <v>180</v>
      </c>
    </row>
    <row r="74" spans="1:23" ht="15.75" customHeight="1">
      <c r="C74" s="2" t="s">
        <v>181</v>
      </c>
      <c r="D74" t="s">
        <v>7</v>
      </c>
      <c r="F74" s="1">
        <v>0</v>
      </c>
      <c r="H74" s="71" t="s">
        <v>182</v>
      </c>
      <c r="N74" t="s">
        <v>183</v>
      </c>
      <c r="O74" s="2"/>
      <c r="P74" s="20">
        <f>F74</f>
        <v>0</v>
      </c>
      <c r="S74" t="s">
        <v>184</v>
      </c>
      <c r="T74" s="19" t="s">
        <v>7</v>
      </c>
      <c r="U74" s="20">
        <f>F90</f>
        <v>0</v>
      </c>
    </row>
    <row r="75" spans="1:23" ht="15.75" customHeight="1">
      <c r="C75" s="2" t="s">
        <v>185</v>
      </c>
      <c r="D75" t="s">
        <v>38</v>
      </c>
      <c r="F75" s="132"/>
      <c r="H75" t="s">
        <v>186</v>
      </c>
      <c r="N75" t="s">
        <v>187</v>
      </c>
      <c r="O75" s="2"/>
      <c r="P75" s="114">
        <f>F75</f>
        <v>0</v>
      </c>
      <c r="S75" t="s">
        <v>187</v>
      </c>
      <c r="T75" t="s">
        <v>38</v>
      </c>
      <c r="U75" s="114">
        <f>F91</f>
        <v>0</v>
      </c>
    </row>
    <row r="76" spans="1:23" ht="15.75" customHeight="1">
      <c r="C76" t="s">
        <v>188</v>
      </c>
      <c r="N76" t="s">
        <v>189</v>
      </c>
      <c r="O76" s="2" t="s">
        <v>7</v>
      </c>
      <c r="P76" s="115">
        <f>P74*P75</f>
        <v>0</v>
      </c>
      <c r="S76" t="s">
        <v>189</v>
      </c>
      <c r="T76" s="19" t="s">
        <v>7</v>
      </c>
      <c r="U76" s="115">
        <f>U74*U75</f>
        <v>0</v>
      </c>
      <c r="W76" s="112"/>
    </row>
    <row r="77" spans="1:23" ht="15.75" customHeight="1">
      <c r="C77" s="2" t="s">
        <v>189</v>
      </c>
      <c r="D77" t="s">
        <v>7</v>
      </c>
      <c r="F77" s="132"/>
      <c r="H77" t="s">
        <v>190</v>
      </c>
      <c r="N77"/>
      <c r="O77" s="2"/>
      <c r="P77" s="103" t="s">
        <v>188</v>
      </c>
      <c r="T77" s="19"/>
      <c r="U77" s="4" t="s">
        <v>191</v>
      </c>
    </row>
    <row r="78" spans="1:23" ht="15.75" customHeight="1">
      <c r="N78" t="s">
        <v>189</v>
      </c>
      <c r="O78" s="2" t="s">
        <v>7</v>
      </c>
      <c r="P78" s="116">
        <f>F77</f>
        <v>0</v>
      </c>
      <c r="S78" t="s">
        <v>184</v>
      </c>
      <c r="T78" s="19" t="s">
        <v>7</v>
      </c>
      <c r="U78" s="20">
        <f>F93</f>
        <v>0</v>
      </c>
    </row>
    <row r="79" spans="1:23" ht="15.75" customHeight="1">
      <c r="C79" t="s">
        <v>192</v>
      </c>
      <c r="O79" s="2"/>
      <c r="P79" s="103" t="s">
        <v>192</v>
      </c>
      <c r="S79" t="s">
        <v>187</v>
      </c>
      <c r="T79" t="s">
        <v>38</v>
      </c>
      <c r="U79" s="114">
        <f>F94</f>
        <v>0</v>
      </c>
    </row>
    <row r="80" spans="1:23" ht="15.75" customHeight="1">
      <c r="C80" s="2" t="s">
        <v>184</v>
      </c>
      <c r="D80" t="s">
        <v>7</v>
      </c>
      <c r="F80" s="110">
        <v>0</v>
      </c>
      <c r="H80" t="s">
        <v>193</v>
      </c>
      <c r="N80" t="s">
        <v>194</v>
      </c>
      <c r="O80" s="2"/>
      <c r="P80" s="20">
        <f>F80</f>
        <v>0</v>
      </c>
      <c r="S80" t="s">
        <v>189</v>
      </c>
      <c r="T80" s="19" t="s">
        <v>7</v>
      </c>
      <c r="U80" s="115">
        <f>U78*U79</f>
        <v>0</v>
      </c>
    </row>
    <row r="81" spans="3:21" ht="15.75" customHeight="1">
      <c r="C81" s="2" t="s">
        <v>187</v>
      </c>
      <c r="D81" t="s">
        <v>38</v>
      </c>
      <c r="F81" s="132"/>
      <c r="H81" s="170" t="s">
        <v>195</v>
      </c>
      <c r="N81" t="s">
        <v>187</v>
      </c>
      <c r="O81" s="2"/>
      <c r="P81" s="114">
        <f>F81</f>
        <v>0</v>
      </c>
      <c r="T81" s="19"/>
      <c r="U81" s="4" t="s">
        <v>196</v>
      </c>
    </row>
    <row r="82" spans="3:21" ht="15.75" customHeight="1">
      <c r="C82" t="s">
        <v>197</v>
      </c>
      <c r="N82" t="s">
        <v>189</v>
      </c>
      <c r="O82" s="2" t="s">
        <v>7</v>
      </c>
      <c r="P82" s="115">
        <f>P80*P81</f>
        <v>0</v>
      </c>
      <c r="S82" t="s">
        <v>184</v>
      </c>
      <c r="T82" s="19" t="s">
        <v>7</v>
      </c>
      <c r="U82" s="20">
        <f>F96</f>
        <v>0</v>
      </c>
    </row>
    <row r="83" spans="3:21" ht="15.75" customHeight="1">
      <c r="C83" s="2" t="s">
        <v>184</v>
      </c>
      <c r="D83" t="s">
        <v>7</v>
      </c>
      <c r="F83" s="110">
        <v>0</v>
      </c>
      <c r="H83" t="s">
        <v>193</v>
      </c>
      <c r="O83" s="2"/>
      <c r="P83" s="103" t="s">
        <v>198</v>
      </c>
      <c r="S83" t="s">
        <v>187</v>
      </c>
      <c r="T83" t="s">
        <v>38</v>
      </c>
      <c r="U83" s="114">
        <f>F97</f>
        <v>0</v>
      </c>
    </row>
    <row r="84" spans="3:21">
      <c r="C84" s="2" t="s">
        <v>187</v>
      </c>
      <c r="D84" t="s">
        <v>38</v>
      </c>
      <c r="F84" s="132"/>
      <c r="H84" s="170" t="s">
        <v>195</v>
      </c>
      <c r="N84" t="s">
        <v>194</v>
      </c>
      <c r="O84" s="2"/>
      <c r="P84" s="20">
        <f>F83</f>
        <v>0</v>
      </c>
      <c r="S84" t="s">
        <v>189</v>
      </c>
      <c r="T84" s="19" t="s">
        <v>7</v>
      </c>
      <c r="U84" s="115">
        <f>U82*U83</f>
        <v>0</v>
      </c>
    </row>
    <row r="85" spans="3:21">
      <c r="C85" t="s">
        <v>198</v>
      </c>
      <c r="N85" t="s">
        <v>187</v>
      </c>
      <c r="O85" s="2"/>
      <c r="P85" s="114">
        <f>F87</f>
        <v>0</v>
      </c>
      <c r="T85" s="19"/>
    </row>
    <row r="86" spans="3:21">
      <c r="C86" s="2" t="s">
        <v>184</v>
      </c>
      <c r="D86" t="s">
        <v>7</v>
      </c>
      <c r="F86" s="110">
        <v>0</v>
      </c>
      <c r="H86" t="s">
        <v>199</v>
      </c>
      <c r="N86" t="s">
        <v>189</v>
      </c>
      <c r="O86" s="2" t="s">
        <v>7</v>
      </c>
      <c r="P86" s="115">
        <f>P84*P85</f>
        <v>0</v>
      </c>
      <c r="S86" t="s">
        <v>200</v>
      </c>
      <c r="T86" s="19" t="s">
        <v>7</v>
      </c>
      <c r="U86" s="117">
        <f>IF($F$13="都道府県",P82,0)</f>
        <v>0</v>
      </c>
    </row>
    <row r="87" spans="3:21">
      <c r="C87" s="2" t="s">
        <v>187</v>
      </c>
      <c r="D87" t="s">
        <v>38</v>
      </c>
      <c r="F87" s="132"/>
      <c r="H87" s="170" t="s">
        <v>195</v>
      </c>
      <c r="N87"/>
      <c r="O87" s="2"/>
      <c r="P87" s="145" t="s">
        <v>197</v>
      </c>
      <c r="S87" t="s">
        <v>201</v>
      </c>
      <c r="T87" s="19" t="s">
        <v>7</v>
      </c>
      <c r="U87" s="68">
        <f>IF($F$13="市町村",P90,0)</f>
        <v>0</v>
      </c>
    </row>
    <row r="88" spans="3:21">
      <c r="C88" t="s">
        <v>202</v>
      </c>
      <c r="N88" t="s">
        <v>194</v>
      </c>
      <c r="O88" s="2"/>
      <c r="P88" s="20">
        <f>F83</f>
        <v>0</v>
      </c>
    </row>
    <row r="89" spans="3:21">
      <c r="C89" t="s">
        <v>180</v>
      </c>
      <c r="N89" t="s">
        <v>187</v>
      </c>
      <c r="O89" s="2"/>
      <c r="P89" s="114">
        <f>F84</f>
        <v>0</v>
      </c>
    </row>
    <row r="90" spans="3:21">
      <c r="C90" s="2" t="s">
        <v>184</v>
      </c>
      <c r="D90" t="s">
        <v>7</v>
      </c>
      <c r="F90" s="259">
        <v>0</v>
      </c>
      <c r="H90" t="s">
        <v>203</v>
      </c>
      <c r="N90" t="s">
        <v>189</v>
      </c>
      <c r="O90" s="2" t="s">
        <v>7</v>
      </c>
      <c r="P90" s="115">
        <f>P88*P89</f>
        <v>0</v>
      </c>
    </row>
    <row r="91" spans="3:21">
      <c r="C91" s="2" t="s">
        <v>187</v>
      </c>
      <c r="D91" t="s">
        <v>38</v>
      </c>
      <c r="F91" s="1">
        <v>0</v>
      </c>
      <c r="H91" t="s">
        <v>204</v>
      </c>
      <c r="K91" s="4" t="s">
        <v>205</v>
      </c>
      <c r="N91"/>
      <c r="O91" s="2"/>
      <c r="R91" s="4" t="s">
        <v>206</v>
      </c>
      <c r="S91" s="4"/>
    </row>
    <row r="92" spans="3:21">
      <c r="C92" t="s">
        <v>207</v>
      </c>
      <c r="M92" t="s">
        <v>208</v>
      </c>
      <c r="N92" t="s">
        <v>189</v>
      </c>
      <c r="O92" s="2" t="s">
        <v>7</v>
      </c>
      <c r="P92" s="51">
        <f>P78</f>
        <v>0</v>
      </c>
      <c r="S92" t="s">
        <v>209</v>
      </c>
      <c r="T92" s="19" t="s">
        <v>7</v>
      </c>
      <c r="U92" s="68">
        <f>SUM(F99,U76,U80,U84,U86:U87)</f>
        <v>0</v>
      </c>
    </row>
    <row r="93" spans="3:21">
      <c r="C93" s="2" t="s">
        <v>184</v>
      </c>
      <c r="D93" t="s">
        <v>7</v>
      </c>
      <c r="F93" s="259">
        <v>0</v>
      </c>
      <c r="H93" t="s">
        <v>203</v>
      </c>
      <c r="M93" t="s">
        <v>209</v>
      </c>
      <c r="N93" t="s">
        <v>189</v>
      </c>
      <c r="O93" s="2" t="s">
        <v>7</v>
      </c>
      <c r="P93" s="118">
        <f>SUM(P76,P78,P82,P86,P90)</f>
        <v>0</v>
      </c>
      <c r="S93" t="s">
        <v>210</v>
      </c>
      <c r="T93" s="19" t="s">
        <v>7</v>
      </c>
      <c r="U93" s="68">
        <f>SUM(F100,U76,U80,U84)</f>
        <v>0</v>
      </c>
    </row>
    <row r="94" spans="3:21">
      <c r="C94" s="2" t="s">
        <v>187</v>
      </c>
      <c r="D94" t="s">
        <v>38</v>
      </c>
      <c r="F94" s="1">
        <v>0</v>
      </c>
      <c r="H94" t="s">
        <v>204</v>
      </c>
      <c r="M94" t="s">
        <v>210</v>
      </c>
      <c r="N94" t="s">
        <v>189</v>
      </c>
      <c r="O94" s="2" t="s">
        <v>7</v>
      </c>
      <c r="P94" s="119">
        <f>SUM(P76,P78,P90)</f>
        <v>0</v>
      </c>
    </row>
    <row r="95" spans="3:21">
      <c r="C95" s="55" t="s">
        <v>211</v>
      </c>
    </row>
    <row r="96" spans="3:21">
      <c r="C96" s="2" t="s">
        <v>184</v>
      </c>
      <c r="D96" t="s">
        <v>7</v>
      </c>
      <c r="F96" s="259">
        <v>0</v>
      </c>
      <c r="H96" t="s">
        <v>203</v>
      </c>
    </row>
    <row r="97" spans="1:16">
      <c r="C97" s="2" t="s">
        <v>187</v>
      </c>
      <c r="D97" t="s">
        <v>38</v>
      </c>
      <c r="F97" s="1">
        <v>0</v>
      </c>
      <c r="H97" t="s">
        <v>212</v>
      </c>
    </row>
    <row r="99" spans="1:16">
      <c r="C99" t="s">
        <v>213</v>
      </c>
      <c r="D99" t="s">
        <v>7</v>
      </c>
      <c r="F99" s="110"/>
    </row>
    <row r="100" spans="1:16">
      <c r="C100" t="s">
        <v>214</v>
      </c>
      <c r="D100" t="s">
        <v>7</v>
      </c>
      <c r="F100" s="110"/>
    </row>
    <row r="102" spans="1:16">
      <c r="A102" s="4" t="s">
        <v>215</v>
      </c>
      <c r="J102" s="4" t="s">
        <v>216</v>
      </c>
      <c r="O102" t="s">
        <v>2</v>
      </c>
      <c r="P102" t="s">
        <v>50</v>
      </c>
    </row>
    <row r="103" spans="1:16">
      <c r="C103" s="31"/>
      <c r="D103" s="31"/>
      <c r="E103" s="31"/>
      <c r="F103" s="31" t="s">
        <v>49</v>
      </c>
      <c r="K103" t="s">
        <v>217</v>
      </c>
      <c r="N103" s="19" t="s">
        <v>7</v>
      </c>
      <c r="O103" s="51">
        <f>F104</f>
        <v>0</v>
      </c>
      <c r="P103" s="52"/>
    </row>
    <row r="104" spans="1:16">
      <c r="C104" s="93" t="s">
        <v>138</v>
      </c>
      <c r="D104" t="s">
        <v>7</v>
      </c>
      <c r="F104" s="146"/>
      <c r="H104" s="147" t="s">
        <v>182</v>
      </c>
      <c r="K104" t="s">
        <v>218</v>
      </c>
      <c r="N104" s="19" t="s">
        <v>7</v>
      </c>
      <c r="O104" s="140">
        <f>F105*O16</f>
        <v>0</v>
      </c>
      <c r="P104" s="52"/>
    </row>
    <row r="105" spans="1:16">
      <c r="C105" s="93" t="s">
        <v>219</v>
      </c>
      <c r="D105" t="s">
        <v>7</v>
      </c>
      <c r="F105" s="146"/>
      <c r="H105" s="147" t="s">
        <v>182</v>
      </c>
      <c r="K105" t="s">
        <v>220</v>
      </c>
      <c r="N105" s="19" t="s">
        <v>7</v>
      </c>
      <c r="O105" s="51">
        <f>F106</f>
        <v>0</v>
      </c>
      <c r="P105" s="52"/>
    </row>
    <row r="106" spans="1:16">
      <c r="C106" s="93" t="s">
        <v>221</v>
      </c>
      <c r="D106" t="s">
        <v>7</v>
      </c>
      <c r="F106" s="146"/>
      <c r="H106" s="147" t="s">
        <v>182</v>
      </c>
      <c r="K106" t="s">
        <v>222</v>
      </c>
    </row>
    <row r="107" spans="1:16">
      <c r="C107" s="93"/>
      <c r="M107" t="s">
        <v>223</v>
      </c>
      <c r="N107" s="19" t="s">
        <v>38</v>
      </c>
      <c r="O107" s="69">
        <f>F65</f>
        <v>1.4999999999999999E-2</v>
      </c>
      <c r="P107" s="52"/>
    </row>
    <row r="108" spans="1:16">
      <c r="C108" s="93"/>
      <c r="M108" t="s">
        <v>224</v>
      </c>
      <c r="N108" s="19" t="s">
        <v>38</v>
      </c>
      <c r="O108" s="70">
        <f>P67</f>
        <v>0</v>
      </c>
      <c r="P108" s="52"/>
    </row>
    <row r="109" spans="1:16">
      <c r="C109" s="93"/>
      <c r="M109" t="s">
        <v>225</v>
      </c>
      <c r="N109" s="19" t="s">
        <v>38</v>
      </c>
      <c r="O109" s="69">
        <f>O108-O107</f>
        <v>-1.4999999999999999E-2</v>
      </c>
      <c r="P109" s="52"/>
    </row>
    <row r="110" spans="1:16">
      <c r="M110" s="94" t="s">
        <v>226</v>
      </c>
      <c r="N110" t="s">
        <v>7</v>
      </c>
      <c r="O110" s="140">
        <f>SUM(AK17:AK46)</f>
        <v>0</v>
      </c>
      <c r="P110" s="52"/>
    </row>
    <row r="112" spans="1:16" s="254" customFormat="1" ht="15" customHeight="1" thickBot="1">
      <c r="B112" s="254" t="s">
        <v>227</v>
      </c>
      <c r="I112" s="255"/>
    </row>
    <row r="113" ht="19" hidden="1" customHeight="1" thickTop="1"/>
  </sheetData>
  <phoneticPr fontId="2"/>
  <dataValidations count="2">
    <dataValidation type="list" showInputMessage="1" showErrorMessage="1" sqref="F13" xr:uid="{00000000-0002-0000-0400-000000000000}">
      <formula1>$O$13:$Q$13</formula1>
    </dataValidation>
    <dataValidation type="list" showInputMessage="1" showErrorMessage="1" sqref="F47" xr:uid="{00000000-0002-0000-0400-000001000000}">
      <formula1>$G$47:$G$48</formula1>
    </dataValidation>
  </dataValidations>
  <pageMargins left="0.23622047244094491" right="0.23622047244094491" top="0.74803149606299213" bottom="0.74803149606299213" header="0.31496062992125978" footer="0.31496062992125978"/>
  <pageSetup paperSize="8" scale="42" fitToWidth="0" orientation="landscape"/>
  <colBreaks count="2" manualBreakCount="2">
    <brk id="21" max="1048575" man="1"/>
    <brk id="5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pageSetUpPr fitToPage="1"/>
  </sheetPr>
  <dimension ref="A2:CM113"/>
  <sheetViews>
    <sheetView showGridLines="0" tabSelected="1" view="pageBreakPreview" topLeftCell="A30" zoomScale="85" zoomScaleNormal="40" zoomScaleSheetLayoutView="85" workbookViewId="0">
      <selection activeCell="F70" sqref="F70"/>
    </sheetView>
  </sheetViews>
  <sheetFormatPr baseColWidth="10" defaultColWidth="0" defaultRowHeight="18" zeroHeight="1" outlineLevelCol="1"/>
  <cols>
    <col min="1" max="1" width="4.83203125" style="286" customWidth="1"/>
    <col min="2" max="2" width="40.6640625" style="286" customWidth="1"/>
    <col min="3" max="3" width="40.1640625" style="286" bestFit="1" customWidth="1"/>
    <col min="4" max="4" width="7.33203125" style="286" customWidth="1"/>
    <col min="5" max="5" width="8.5" style="286" bestFit="1" customWidth="1"/>
    <col min="6" max="6" width="11.5" style="286" customWidth="1"/>
    <col min="7" max="7" width="2.5" style="286" customWidth="1"/>
    <col min="8" max="8" width="43.6640625" style="286" customWidth="1"/>
    <col min="9" max="9" width="1.6640625" style="286" customWidth="1"/>
    <col min="10" max="11" width="12.5" style="286" customWidth="1" outlineLevel="1"/>
    <col min="12" max="12" width="1.83203125" style="286" customWidth="1" outlineLevel="1"/>
    <col min="13" max="13" width="42.1640625" style="286" customWidth="1" outlineLevel="1"/>
    <col min="14" max="14" width="11.1640625" style="19" customWidth="1" outlineLevel="1"/>
    <col min="15" max="16" width="24.5" style="286" customWidth="1" outlineLevel="1"/>
    <col min="17" max="17" width="4.6640625" style="286" customWidth="1" outlineLevel="1"/>
    <col min="18" max="18" width="10" style="286" customWidth="1" outlineLevel="1"/>
    <col min="19" max="19" width="19.1640625" style="286" customWidth="1" outlineLevel="1"/>
    <col min="20" max="20" width="7.5" style="286" customWidth="1" outlineLevel="1"/>
    <col min="21" max="21" width="24.5" style="286" customWidth="1" outlineLevel="1"/>
    <col min="22" max="22" width="12" style="286" customWidth="1"/>
    <col min="23" max="23" width="9.6640625" style="286" customWidth="1"/>
    <col min="24" max="24" width="21.5" style="286" customWidth="1"/>
    <col min="25" max="26" width="10.83203125" style="233" customWidth="1"/>
    <col min="27" max="36" width="10.83203125" style="33" customWidth="1"/>
    <col min="37" max="38" width="10.83203125" style="226" customWidth="1"/>
    <col min="39" max="39" width="12" style="226" customWidth="1"/>
    <col min="40" max="40" width="1.6640625" style="31" customWidth="1"/>
    <col min="41" max="41" width="10.33203125" style="226" customWidth="1"/>
    <col min="42" max="45" width="10.33203125" style="33" customWidth="1"/>
    <col min="46" max="49" width="16" style="33" customWidth="1"/>
    <col min="50" max="54" width="10.6640625" style="33" customWidth="1"/>
    <col min="55" max="56" width="12" style="33" customWidth="1"/>
    <col min="57" max="57" width="1.6640625" style="19" customWidth="1"/>
    <col min="58" max="58" width="12" style="31" customWidth="1"/>
    <col min="59" max="59" width="1.5" style="19" customWidth="1"/>
    <col min="60" max="63" width="16" style="33" customWidth="1"/>
    <col min="64" max="70" width="12" style="33" customWidth="1"/>
    <col min="71" max="71" width="16.83203125" style="33" customWidth="1"/>
    <col min="72" max="74" width="12" style="33" customWidth="1"/>
    <col min="75" max="75" width="2.1640625" style="19" customWidth="1"/>
    <col min="76" max="76" width="12" style="19" customWidth="1"/>
    <col min="77" max="77" width="21" style="19" bestFit="1" customWidth="1"/>
    <col min="78" max="78" width="3.33203125" style="19" hidden="1" customWidth="1"/>
    <col min="79" max="79" width="0" style="19" hidden="1" customWidth="1"/>
    <col min="80" max="91" width="0" style="286" hidden="1" customWidth="1"/>
    <col min="92" max="92" width="9" style="286" hidden="1" customWidth="1"/>
    <col min="93" max="16384" width="9" style="286" hidden="1"/>
  </cols>
  <sheetData>
    <row r="2" spans="1:79">
      <c r="B2" s="4" t="s">
        <v>24</v>
      </c>
    </row>
    <row r="3" spans="1:79">
      <c r="B3" s="260" t="s">
        <v>25</v>
      </c>
    </row>
    <row r="4" spans="1:79">
      <c r="B4" s="261" t="s">
        <v>26</v>
      </c>
    </row>
    <row r="5" spans="1:79" ht="15.75" customHeight="1">
      <c r="B5" s="262" t="s">
        <v>27</v>
      </c>
    </row>
    <row r="6" spans="1:79" ht="15.75" customHeight="1"/>
    <row r="7" spans="1:79" s="4" customFormat="1" ht="15.75" customHeight="1">
      <c r="A7" s="25" t="s">
        <v>28</v>
      </c>
      <c r="B7" s="25"/>
      <c r="C7" s="25"/>
      <c r="D7" s="25"/>
      <c r="E7" s="25"/>
      <c r="F7" s="25"/>
      <c r="G7" s="25"/>
      <c r="H7" s="25"/>
      <c r="I7" s="25"/>
      <c r="J7" s="24" t="s">
        <v>29</v>
      </c>
      <c r="K7" s="24"/>
      <c r="L7" s="24"/>
      <c r="M7" s="24"/>
      <c r="N7" s="84"/>
      <c r="O7" s="24"/>
      <c r="P7" s="24"/>
      <c r="Q7" s="24"/>
      <c r="R7" s="24"/>
      <c r="S7" s="24"/>
      <c r="T7" s="24"/>
      <c r="U7" s="24"/>
      <c r="V7" s="22" t="s">
        <v>30</v>
      </c>
      <c r="W7" s="22"/>
      <c r="X7" s="22"/>
      <c r="Y7" s="234"/>
      <c r="Z7" s="234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27"/>
      <c r="AL7" s="227"/>
      <c r="AM7" s="227"/>
      <c r="AN7" s="30"/>
      <c r="AO7" s="227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3"/>
      <c r="BF7" s="30"/>
      <c r="BG7" s="23"/>
      <c r="BH7" s="216"/>
      <c r="BI7" s="216"/>
      <c r="BJ7" s="216"/>
      <c r="BK7" s="216"/>
      <c r="BL7" s="216"/>
      <c r="BM7" s="216"/>
      <c r="BN7" s="216"/>
      <c r="BO7" s="216"/>
      <c r="BP7" s="216"/>
      <c r="BQ7" s="216"/>
      <c r="BR7" s="216"/>
      <c r="BS7" s="216"/>
      <c r="BT7" s="216"/>
      <c r="BU7" s="216"/>
      <c r="BV7" s="216"/>
      <c r="BW7" s="23"/>
      <c r="BX7" s="23"/>
      <c r="BY7" s="23"/>
      <c r="BZ7" s="23"/>
      <c r="CA7" s="23"/>
    </row>
    <row r="8" spans="1:79" s="4" customFormat="1" ht="15.75" customHeight="1">
      <c r="A8" s="247"/>
      <c r="B8" s="263" t="s">
        <v>31</v>
      </c>
      <c r="C8" s="247"/>
      <c r="D8" s="247"/>
      <c r="E8" s="247"/>
      <c r="F8" s="247"/>
      <c r="G8" s="247"/>
      <c r="H8" s="247"/>
      <c r="I8" s="247"/>
      <c r="N8" s="5"/>
      <c r="Y8" s="248"/>
      <c r="Z8" s="248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249"/>
      <c r="AL8" s="249"/>
      <c r="AM8" s="249"/>
      <c r="AN8" s="250"/>
      <c r="AO8" s="249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5"/>
      <c r="BF8" s="250"/>
      <c r="BG8" s="5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5"/>
      <c r="BX8" s="5"/>
      <c r="BY8" s="5"/>
      <c r="BZ8" s="5"/>
      <c r="CA8" s="5"/>
    </row>
    <row r="9" spans="1:79" ht="15.75" customHeight="1" thickBot="1">
      <c r="W9" s="54" t="s">
        <v>32</v>
      </c>
      <c r="X9" s="49"/>
      <c r="Y9" s="235"/>
      <c r="AC9" s="236" t="s">
        <v>33</v>
      </c>
    </row>
    <row r="10" spans="1:79" ht="15.75" customHeight="1">
      <c r="D10" t="s">
        <v>34</v>
      </c>
      <c r="K10" s="19"/>
      <c r="L10" s="19"/>
      <c r="M10" s="19"/>
      <c r="N10" s="19" t="s">
        <v>34</v>
      </c>
      <c r="O10" s="19"/>
      <c r="P10" s="19"/>
      <c r="Q10" s="19" t="s">
        <v>35</v>
      </c>
      <c r="R10" s="19"/>
      <c r="S10" s="19"/>
      <c r="T10" s="19"/>
      <c r="U10" s="19"/>
      <c r="W10" s="10" t="s">
        <v>36</v>
      </c>
      <c r="X10" s="11" t="s">
        <v>37</v>
      </c>
      <c r="Y10" s="237" t="s">
        <v>38</v>
      </c>
      <c r="AC10" s="238" t="s">
        <v>39</v>
      </c>
      <c r="BQ10" s="32"/>
      <c r="BR10" s="32"/>
      <c r="BS10" s="32"/>
      <c r="BT10" s="32"/>
      <c r="BY10" s="5"/>
    </row>
    <row r="11" spans="1:79" ht="15.75" customHeight="1" thickBot="1">
      <c r="A11" s="4" t="s">
        <v>40</v>
      </c>
      <c r="J11" s="4" t="s">
        <v>40</v>
      </c>
      <c r="W11" s="168">
        <f>AL58-BC58</f>
        <v>441.86156980061833</v>
      </c>
      <c r="X11" s="169">
        <f>AM58-BD58</f>
        <v>-333.878728091629</v>
      </c>
      <c r="Y11" s="239">
        <f>X11/AM58</f>
        <v>0.10632833535344838</v>
      </c>
      <c r="AC11" s="240">
        <f>XIRR(BV17:BV56,V17:V56)</f>
        <v>3.1809040904045099E-2</v>
      </c>
      <c r="AD11" s="55" t="s">
        <v>41</v>
      </c>
      <c r="BQ11" s="32"/>
      <c r="BR11" s="32"/>
      <c r="BS11" s="32"/>
      <c r="BT11" s="32"/>
      <c r="BY11" s="5"/>
    </row>
    <row r="12" spans="1:79" ht="15.75" customHeight="1"/>
    <row r="13" spans="1:79" ht="15.75" customHeight="1">
      <c r="B13" t="s">
        <v>42</v>
      </c>
      <c r="F13" s="29" t="s">
        <v>43</v>
      </c>
      <c r="J13" s="170" t="s">
        <v>42</v>
      </c>
      <c r="O13" t="s">
        <v>44</v>
      </c>
      <c r="P13" t="s">
        <v>45</v>
      </c>
      <c r="Q13" t="s">
        <v>43</v>
      </c>
      <c r="V13" s="5" t="s">
        <v>46</v>
      </c>
      <c r="W13" s="5" t="s">
        <v>47</v>
      </c>
      <c r="X13" s="5" t="s">
        <v>48</v>
      </c>
      <c r="Y13" s="58" t="s">
        <v>2</v>
      </c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102"/>
      <c r="AK13" s="143" t="s">
        <v>49</v>
      </c>
      <c r="AL13" s="241"/>
      <c r="AM13" s="95"/>
      <c r="AN13" s="32"/>
      <c r="AO13" s="62" t="s">
        <v>50</v>
      </c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205"/>
      <c r="BD13" s="205" t="s">
        <v>51</v>
      </c>
      <c r="BE13" s="33"/>
      <c r="BF13" s="19"/>
      <c r="BH13" s="64" t="s">
        <v>52</v>
      </c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133"/>
      <c r="BX13" s="83" t="s">
        <v>53</v>
      </c>
      <c r="BY13" s="83" t="s">
        <v>54</v>
      </c>
    </row>
    <row r="14" spans="1:79" ht="15.75" customHeight="1">
      <c r="B14" t="s">
        <v>55</v>
      </c>
      <c r="D14" t="s">
        <v>56</v>
      </c>
      <c r="F14" s="131" t="s">
        <v>231</v>
      </c>
      <c r="J14" s="170"/>
      <c r="Y14" s="58" t="s">
        <v>58</v>
      </c>
      <c r="Z14" s="59"/>
      <c r="AA14" s="59"/>
      <c r="AB14" s="59"/>
      <c r="AC14" s="60"/>
      <c r="AD14" s="58" t="s">
        <v>59</v>
      </c>
      <c r="AE14" s="59"/>
      <c r="AF14" s="59"/>
      <c r="AG14" s="59"/>
      <c r="AH14" s="59"/>
      <c r="AI14" s="141"/>
      <c r="AJ14" s="104" t="s">
        <v>51</v>
      </c>
      <c r="AK14" s="95"/>
      <c r="AL14" s="34"/>
      <c r="AM14" s="106" t="s">
        <v>51</v>
      </c>
      <c r="AN14" s="32"/>
      <c r="AO14" s="62" t="s">
        <v>58</v>
      </c>
      <c r="AP14" s="61"/>
      <c r="AQ14" s="61"/>
      <c r="AR14" s="61"/>
      <c r="AS14" s="63"/>
      <c r="AT14" s="61" t="s">
        <v>59</v>
      </c>
      <c r="AU14" s="61"/>
      <c r="AV14" s="61"/>
      <c r="AW14" s="61"/>
      <c r="AX14" s="61"/>
      <c r="AY14" s="61"/>
      <c r="AZ14" s="61"/>
      <c r="BA14" s="61"/>
      <c r="BB14" s="63"/>
      <c r="BC14" s="35" t="s">
        <v>51</v>
      </c>
      <c r="BD14" s="35" t="s">
        <v>60</v>
      </c>
      <c r="BE14" s="33"/>
      <c r="BF14" s="19"/>
      <c r="BH14" s="64" t="s">
        <v>58</v>
      </c>
      <c r="BI14" s="65"/>
      <c r="BJ14" s="65"/>
      <c r="BK14" s="65"/>
      <c r="BL14" s="65"/>
      <c r="BM14" s="65"/>
      <c r="BN14" s="66"/>
      <c r="BO14" s="64" t="s">
        <v>59</v>
      </c>
      <c r="BP14" s="65"/>
      <c r="BQ14" s="65"/>
      <c r="BR14" s="65"/>
      <c r="BS14" s="65"/>
      <c r="BT14" s="65"/>
      <c r="BU14" s="66"/>
      <c r="BV14" s="44" t="s">
        <v>51</v>
      </c>
      <c r="BX14" s="90"/>
      <c r="BY14" s="275" t="s">
        <v>61</v>
      </c>
    </row>
    <row r="15" spans="1:79" ht="32.25" customHeight="1">
      <c r="J15" s="170"/>
      <c r="N15"/>
      <c r="Y15" s="39" t="s">
        <v>62</v>
      </c>
      <c r="Z15" s="40" t="s">
        <v>63</v>
      </c>
      <c r="AA15" s="40" t="s">
        <v>64</v>
      </c>
      <c r="AB15" s="40" t="s">
        <v>65</v>
      </c>
      <c r="AC15" s="41" t="s">
        <v>66</v>
      </c>
      <c r="AD15" s="39" t="s">
        <v>67</v>
      </c>
      <c r="AE15" s="40" t="s">
        <v>68</v>
      </c>
      <c r="AF15" s="40" t="s">
        <v>79</v>
      </c>
      <c r="AG15" s="40" t="s">
        <v>70</v>
      </c>
      <c r="AH15" s="40" t="s">
        <v>71</v>
      </c>
      <c r="AI15" s="42" t="s">
        <v>72</v>
      </c>
      <c r="AJ15" s="96"/>
      <c r="AK15" s="82" t="s">
        <v>73</v>
      </c>
      <c r="AL15" s="42" t="s">
        <v>10</v>
      </c>
      <c r="AM15" s="108" t="s">
        <v>60</v>
      </c>
      <c r="AN15" s="32"/>
      <c r="AO15" s="85" t="s">
        <v>62</v>
      </c>
      <c r="AP15" s="86" t="s">
        <v>63</v>
      </c>
      <c r="AQ15" s="86" t="s">
        <v>64</v>
      </c>
      <c r="AR15" s="86" t="s">
        <v>74</v>
      </c>
      <c r="AS15" s="43" t="s">
        <v>66</v>
      </c>
      <c r="AT15" s="86" t="s">
        <v>75</v>
      </c>
      <c r="AU15" s="86" t="s">
        <v>76</v>
      </c>
      <c r="AV15" s="86" t="s">
        <v>77</v>
      </c>
      <c r="AW15" s="86" t="s">
        <v>78</v>
      </c>
      <c r="AX15" s="86" t="s">
        <v>79</v>
      </c>
      <c r="AY15" s="86" t="s">
        <v>80</v>
      </c>
      <c r="AZ15" s="86" t="s">
        <v>70</v>
      </c>
      <c r="BA15" s="86" t="s">
        <v>71</v>
      </c>
      <c r="BB15" s="43" t="s">
        <v>72</v>
      </c>
      <c r="BC15" s="87"/>
      <c r="BD15" s="43"/>
      <c r="BE15" s="33"/>
      <c r="BF15" s="252" t="s">
        <v>81</v>
      </c>
      <c r="BG15" s="33"/>
      <c r="BH15" s="45" t="s">
        <v>75</v>
      </c>
      <c r="BI15" s="37" t="s">
        <v>76</v>
      </c>
      <c r="BJ15" s="37" t="s">
        <v>77</v>
      </c>
      <c r="BK15" s="37" t="s">
        <v>78</v>
      </c>
      <c r="BL15" s="37" t="s">
        <v>82</v>
      </c>
      <c r="BM15" s="37" t="s">
        <v>65</v>
      </c>
      <c r="BN15" s="38" t="s">
        <v>66</v>
      </c>
      <c r="BO15" s="37" t="s">
        <v>83</v>
      </c>
      <c r="BP15" s="37" t="s">
        <v>84</v>
      </c>
      <c r="BQ15" s="37" t="s">
        <v>85</v>
      </c>
      <c r="BR15" s="37" t="s">
        <v>86</v>
      </c>
      <c r="BS15" s="37" t="s">
        <v>87</v>
      </c>
      <c r="BT15" s="37" t="s">
        <v>88</v>
      </c>
      <c r="BU15" s="38" t="s">
        <v>72</v>
      </c>
      <c r="BV15" s="38"/>
      <c r="BX15" s="91"/>
      <c r="BY15" s="274">
        <f>IF(SUM(BY17:BY46)=0,0,1)</f>
        <v>0</v>
      </c>
      <c r="CA15"/>
    </row>
    <row r="16" spans="1:79" ht="15.75" customHeight="1">
      <c r="B16" t="s">
        <v>89</v>
      </c>
      <c r="C16" t="s">
        <v>90</v>
      </c>
      <c r="D16" t="s">
        <v>91</v>
      </c>
      <c r="F16" s="1">
        <v>3</v>
      </c>
      <c r="J16" s="170" t="s">
        <v>92</v>
      </c>
      <c r="N16" s="19" t="s">
        <v>91</v>
      </c>
      <c r="O16" s="20">
        <f>SUM(F16:F17)</f>
        <v>23</v>
      </c>
      <c r="V16" s="103" t="s">
        <v>49</v>
      </c>
      <c r="Y16" s="242"/>
      <c r="Z16" s="229"/>
      <c r="AA16" s="229"/>
      <c r="AB16" s="229"/>
      <c r="AC16" s="229"/>
      <c r="AD16" s="229"/>
      <c r="AE16" s="229"/>
      <c r="AF16" s="229"/>
      <c r="AG16" s="229"/>
      <c r="AH16" s="229"/>
      <c r="AI16" s="229"/>
      <c r="AJ16" s="229"/>
      <c r="AK16" s="224"/>
      <c r="AL16" s="243">
        <f>-SUM(BS17,SUM(BR17:BR46),O105,O110)</f>
        <v>-943.90419544380313</v>
      </c>
      <c r="AM16" s="243">
        <f>AL16*BF16</f>
        <v>-943.90419544380313</v>
      </c>
      <c r="AN16" s="163"/>
      <c r="AO16" s="228"/>
      <c r="AP16" s="229"/>
      <c r="AQ16" s="229"/>
      <c r="AR16" s="229"/>
      <c r="AS16" s="229"/>
      <c r="AT16" s="229"/>
      <c r="AU16" s="229"/>
      <c r="AV16" s="229"/>
      <c r="AW16" s="229"/>
      <c r="AX16" s="229"/>
      <c r="AY16" s="229"/>
      <c r="AZ16" s="229"/>
      <c r="BA16" s="229"/>
      <c r="BB16" s="229"/>
      <c r="BC16" s="229"/>
      <c r="BD16" s="230"/>
      <c r="BE16" s="31"/>
      <c r="BF16" s="105">
        <v>1</v>
      </c>
      <c r="BH16" s="217"/>
      <c r="BI16" s="218"/>
      <c r="BJ16" s="218"/>
      <c r="BK16" s="218"/>
      <c r="BL16" s="218"/>
      <c r="BM16" s="218"/>
      <c r="BN16" s="218"/>
      <c r="BO16" s="218"/>
      <c r="BP16" s="218"/>
      <c r="BQ16" s="218"/>
      <c r="BR16" s="218"/>
      <c r="BS16" s="218"/>
      <c r="BT16" s="218"/>
      <c r="BU16" s="218"/>
      <c r="BV16" s="218"/>
      <c r="BW16" s="163"/>
      <c r="BX16" s="160"/>
      <c r="BY16" s="270"/>
      <c r="CA16"/>
    </row>
    <row r="17" spans="1:79" ht="15.75" customHeight="1">
      <c r="C17" t="s">
        <v>93</v>
      </c>
      <c r="D17" t="s">
        <v>91</v>
      </c>
      <c r="F17" s="1">
        <v>20</v>
      </c>
      <c r="J17" s="147"/>
      <c r="V17" s="57">
        <f>IF(W17=1,DATE(YEAR($F$18)+(MONTH($F$18)&gt;=4),4,0),EOMONTH(V15,12))</f>
        <v>45747</v>
      </c>
      <c r="W17" s="6">
        <v>1</v>
      </c>
      <c r="X17" s="269" t="str">
        <f t="shared" ref="X17:X56" si="0">IF(W17&gt;$O$16,"-",IF($W17&lt;=$F$16,"整備期間","維持管理・運営期間"))</f>
        <v>整備期間</v>
      </c>
      <c r="Y17" s="231">
        <f t="shared" ref="Y17:Y56" si="1">IF($W17=$F$16,$O$61,0)</f>
        <v>0</v>
      </c>
      <c r="Z17" s="222">
        <f t="shared" ref="Z17:Z56" si="2">IF($W17=$F$16,$O$63,0)</f>
        <v>0</v>
      </c>
      <c r="AA17" s="222">
        <f t="shared" ref="AA17:AA56" si="3">IF($W17=$F$16,$O$62,0)</f>
        <v>0</v>
      </c>
      <c r="AB17" s="222">
        <f t="shared" ref="AB17:AB56" si="4">IF(X17="維持管理・運営期間",$F$56,0)</f>
        <v>0</v>
      </c>
      <c r="AC17" s="223">
        <f t="shared" ref="AC17:AC56" si="5">SUM(Y17:Z17,AB17)</f>
        <v>0</v>
      </c>
      <c r="AD17" s="231">
        <f t="shared" ref="AD17:AD56" si="6">IF($W17=$F$16,$O$30,0)</f>
        <v>0</v>
      </c>
      <c r="AE17" s="222">
        <f t="shared" ref="AE17:AE56" si="7">IF($X17="維持管理・運営期間",$O$41,0)</f>
        <v>0</v>
      </c>
      <c r="AF17" s="222">
        <f t="shared" ref="AF17:AF56" si="8">IF(AND($W17&gt;0,$W17&lt;=$O$16),$E$45,0)</f>
        <v>10</v>
      </c>
      <c r="AG17" s="222">
        <f>IF(AND(SUM($AA$16:AA16)&gt;0,SUM($AG$16:AG16)&lt;$O$62,$W17&gt;=$O$65),$O$64,0)</f>
        <v>0</v>
      </c>
      <c r="AH17" s="222">
        <f>IF(SUM($AA16:$AA$17)&gt;0,($O$62-SUM($AG16:$AG$17))*$E$65,0)</f>
        <v>0</v>
      </c>
      <c r="AI17" s="223">
        <f t="shared" ref="AI17:AI56" si="9">SUM(AD17:AF17)</f>
        <v>10</v>
      </c>
      <c r="AJ17" s="222">
        <f t="shared" ref="AJ17:AJ56" si="10">AC17-AI17</f>
        <v>-10</v>
      </c>
      <c r="AK17" s="244"/>
      <c r="AL17" s="245"/>
      <c r="AM17" s="223">
        <f t="shared" ref="AM17:AM56" si="11">AJ17*$BF17</f>
        <v>-9.664999517370557</v>
      </c>
      <c r="AN17" s="161"/>
      <c r="AO17" s="231">
        <f t="shared" ref="AO17:AO56" si="12">IF($W17=$F$16,$P$61,0)</f>
        <v>0</v>
      </c>
      <c r="AP17" s="222">
        <f t="shared" ref="AP17:AP56" si="13">IF($W17=$F$16,$P$63,0)</f>
        <v>0</v>
      </c>
      <c r="AQ17" s="222">
        <f t="shared" ref="AQ17:AQ56" si="14">IF($W17=$F$16,$P$62,0)</f>
        <v>0</v>
      </c>
      <c r="AR17" s="222">
        <f t="shared" ref="AR17:AR56" si="15">IF($W17&lt;$O$16,IF(W17=$F$16,$U$93,$U$94),0)</f>
        <v>0</v>
      </c>
      <c r="AS17" s="223">
        <f t="shared" ref="AS17:AS56" si="16">SUM(AO17:AP17,AR17)</f>
        <v>0</v>
      </c>
      <c r="AT17" s="222">
        <f t="shared" ref="AT17:AT56" si="17">IF(W17=$F$16,$P$30,0)</f>
        <v>0</v>
      </c>
      <c r="AU17" s="222">
        <f t="shared" ref="AU17:AU56" si="18">IFERROR(-PPMT($P$36,W17-$F$16,$F$17,SUM(P$31,P$51)),0)</f>
        <v>0</v>
      </c>
      <c r="AV17" s="222">
        <f t="shared" ref="AV17:AV56" si="19">IFERROR(-IPMT($P$36,W17-$F$16,$F$17,SUM($P$31,$P$51)),0)</f>
        <v>0</v>
      </c>
      <c r="AW17" s="222">
        <f t="shared" ref="AW17:AW56" si="20">IF(AND(W17&gt;$F$16,W17&lt;=SUM($F$16:$F$17)),$P$43,0)</f>
        <v>0</v>
      </c>
      <c r="AX17" s="222">
        <f t="shared" ref="AX17:AX56" si="21">IF($W17=1,$F$44,0)+IF(AND($W17&gt;0,$W17&lt;=$O$16),$F$45,0)</f>
        <v>31</v>
      </c>
      <c r="AY17" s="222">
        <f t="shared" ref="AY17:AY56" si="22">IF(AND(W17&gt;$F$16,W17&lt;=SUM($F$16:$F$17)),$P$54,0)</f>
        <v>0</v>
      </c>
      <c r="AZ17" s="222">
        <f>IF(AND(SUM($AQ$16:AQ16)&gt;0,SUM($AZ$16:AZ16)&lt;$P$62,$W17&gt;=$P$65),$P$64,0)</f>
        <v>0</v>
      </c>
      <c r="BA17" s="222">
        <f>IF(SUM($AQ16:$AQ$17)&gt;0,($P$62-SUM($AZ16:$AZ$17))*$F$65,0)</f>
        <v>0</v>
      </c>
      <c r="BB17" s="223">
        <f t="shared" ref="BB17:BB56" si="23">SUM(AT17:AY17)</f>
        <v>31</v>
      </c>
      <c r="BC17" s="222">
        <f t="shared" ref="BC17:BC56" si="24">AS17-BB17</f>
        <v>-31</v>
      </c>
      <c r="BD17" s="223">
        <f t="shared" ref="BD17:BD56" si="25">BC17*$BF17</f>
        <v>-29.961498503848727</v>
      </c>
      <c r="BE17" s="48"/>
      <c r="BF17" s="46">
        <f>1/(1+$O$22)</f>
        <v>0.96649995173705572</v>
      </c>
      <c r="BH17" s="219">
        <f t="shared" ref="BH17:BH56" si="26">AT17</f>
        <v>0</v>
      </c>
      <c r="BI17" s="219">
        <f t="shared" ref="BI17:BI56" si="27">AU17</f>
        <v>0</v>
      </c>
      <c r="BJ17" s="220">
        <f t="shared" ref="BJ17:BJ56" si="28">AV17</f>
        <v>0</v>
      </c>
      <c r="BK17" s="220">
        <f t="shared" ref="BK17:BK56" si="29">AW17</f>
        <v>0</v>
      </c>
      <c r="BL17" s="220">
        <f t="shared" ref="BL17:BL56" si="30">AY17</f>
        <v>0</v>
      </c>
      <c r="BM17" s="220">
        <f t="shared" ref="BM17:BM56" si="31">IF($W17&gt;$F$16,$F$56,0)</f>
        <v>0</v>
      </c>
      <c r="BN17" s="221">
        <f t="shared" ref="BN17:BN56" si="32">SUM(BH17:BM17)</f>
        <v>0</v>
      </c>
      <c r="BO17" s="220">
        <f t="shared" ref="BO17:BO56" si="33">IF($W17=$F$16,$P$32,0)</f>
        <v>0</v>
      </c>
      <c r="BP17" s="220">
        <f t="shared" ref="BP17:BP56" si="34">IF(AND(W17&gt;$F$16,W17&lt;=SUM($F$16:$F$17)),$P$41,0)</f>
        <v>0</v>
      </c>
      <c r="BQ17" s="220">
        <f t="shared" ref="BQ17:BQ56" si="35">IFERROR(-IPMT($P$67,W17-$F$16,$F$17,SUM(P$31,P$51)),0)</f>
        <v>0</v>
      </c>
      <c r="BR17" s="220">
        <f t="shared" ref="BR17:BR56" si="36">IF($W17&lt;=$O$16,$F$105,0)</f>
        <v>15</v>
      </c>
      <c r="BS17" s="220">
        <f t="shared" ref="BS17:BS56" si="37">IF($W17=1,SUM($O$103,$O$105),0)</f>
        <v>200</v>
      </c>
      <c r="BT17" s="220">
        <f t="shared" ref="BT17:BT56" si="38">IF($W17&lt;$O$16,IF(W17=$F$16,$P$94,$P$95),0)</f>
        <v>0.18</v>
      </c>
      <c r="BU17" s="221">
        <f t="shared" ref="BU17:BU56" si="39">SUM(BO17:BP17,BR17:BT17)</f>
        <v>215.18</v>
      </c>
      <c r="BV17" s="221">
        <f t="shared" ref="BV17:BV56" si="40">BN17-BU17</f>
        <v>-215.18</v>
      </c>
      <c r="BW17" s="163"/>
      <c r="BX17" s="155">
        <f t="shared" ref="BX17:BX56" si="41">IFERROR(-PPMT($P$67,$W17-$F$16,$F$17,SUM(P$31,P$51)),0)</f>
        <v>0</v>
      </c>
      <c r="BY17" s="271"/>
      <c r="CA17"/>
    </row>
    <row r="18" spans="1:79" ht="15.75" customHeight="1">
      <c r="C18" t="s">
        <v>94</v>
      </c>
      <c r="F18" s="67" t="s">
        <v>232</v>
      </c>
      <c r="J18" s="147"/>
      <c r="V18" s="57">
        <f t="shared" ref="V18:V56" si="42">IF(W18=1,DATE(YEAR($F$18)+(MONTH($F$18)&gt;=4),4,0),EOMONTH(V17,12))</f>
        <v>46112</v>
      </c>
      <c r="W18" s="7">
        <v>2</v>
      </c>
      <c r="X18" s="269" t="str">
        <f t="shared" si="0"/>
        <v>整備期間</v>
      </c>
      <c r="Y18" s="231">
        <f t="shared" si="1"/>
        <v>0</v>
      </c>
      <c r="Z18" s="222">
        <f t="shared" si="2"/>
        <v>0</v>
      </c>
      <c r="AA18" s="222">
        <f t="shared" si="3"/>
        <v>0</v>
      </c>
      <c r="AB18" s="222">
        <f t="shared" si="4"/>
        <v>0</v>
      </c>
      <c r="AC18" s="223">
        <f t="shared" si="5"/>
        <v>0</v>
      </c>
      <c r="AD18" s="231">
        <f t="shared" si="6"/>
        <v>0</v>
      </c>
      <c r="AE18" s="222">
        <f t="shared" si="7"/>
        <v>0</v>
      </c>
      <c r="AF18" s="222">
        <f t="shared" si="8"/>
        <v>10</v>
      </c>
      <c r="AG18" s="222">
        <f>IF(AND(SUM($AA$16:AA17)&gt;0,SUM($AG$16:AG17)&lt;$O$62,$W18&gt;=$O$65),$O$64,0)</f>
        <v>0</v>
      </c>
      <c r="AH18" s="220">
        <f>IF(SUM($AA17:$AA$17)&gt;0,($O$62-SUM($AG17:$AG$17))*$E$65,0)</f>
        <v>0</v>
      </c>
      <c r="AI18" s="223">
        <f t="shared" si="9"/>
        <v>10</v>
      </c>
      <c r="AJ18" s="220">
        <f t="shared" si="10"/>
        <v>-10</v>
      </c>
      <c r="AK18" s="244"/>
      <c r="AL18" s="245"/>
      <c r="AM18" s="221">
        <f t="shared" si="11"/>
        <v>-9.3412215670773104</v>
      </c>
      <c r="AN18" s="161"/>
      <c r="AO18" s="219">
        <f t="shared" si="12"/>
        <v>0</v>
      </c>
      <c r="AP18" s="220">
        <f t="shared" si="13"/>
        <v>0</v>
      </c>
      <c r="AQ18" s="220">
        <f t="shared" si="14"/>
        <v>0</v>
      </c>
      <c r="AR18" s="222">
        <f t="shared" si="15"/>
        <v>0</v>
      </c>
      <c r="AS18" s="223">
        <f t="shared" si="16"/>
        <v>0</v>
      </c>
      <c r="AT18" s="222">
        <f t="shared" si="17"/>
        <v>0</v>
      </c>
      <c r="AU18" s="222">
        <f t="shared" si="18"/>
        <v>0</v>
      </c>
      <c r="AV18" s="222">
        <f t="shared" si="19"/>
        <v>0</v>
      </c>
      <c r="AW18" s="222">
        <f t="shared" si="20"/>
        <v>0</v>
      </c>
      <c r="AX18" s="222">
        <f t="shared" si="21"/>
        <v>6</v>
      </c>
      <c r="AY18" s="222">
        <f t="shared" si="22"/>
        <v>0</v>
      </c>
      <c r="AZ18" s="222">
        <f>IF(AND(SUM($AQ$16:AQ17)&gt;0,SUM($AZ$16:AZ17)&lt;$P$62,$W18&gt;=$P$65),$P$64,0)</f>
        <v>0</v>
      </c>
      <c r="BA18" s="222">
        <f>IF(SUM($AQ17:$AQ$17)&gt;0,($P$62-SUM($AZ17:$AZ$17))*$F$65,0)</f>
        <v>0</v>
      </c>
      <c r="BB18" s="223">
        <f t="shared" si="23"/>
        <v>6</v>
      </c>
      <c r="BC18" s="220">
        <f t="shared" si="24"/>
        <v>-6</v>
      </c>
      <c r="BD18" s="221">
        <f t="shared" si="25"/>
        <v>-5.6047329402463859</v>
      </c>
      <c r="BE18" s="48"/>
      <c r="BF18" s="46">
        <f t="shared" ref="BF18:BF56" si="43">BF17/(1+$O$22)</f>
        <v>0.93412215670773102</v>
      </c>
      <c r="BH18" s="219">
        <f t="shared" si="26"/>
        <v>0</v>
      </c>
      <c r="BI18" s="219">
        <f t="shared" si="27"/>
        <v>0</v>
      </c>
      <c r="BJ18" s="220">
        <f t="shared" si="28"/>
        <v>0</v>
      </c>
      <c r="BK18" s="220">
        <f t="shared" si="29"/>
        <v>0</v>
      </c>
      <c r="BL18" s="220">
        <f t="shared" si="30"/>
        <v>0</v>
      </c>
      <c r="BM18" s="220">
        <f t="shared" si="31"/>
        <v>0</v>
      </c>
      <c r="BN18" s="221">
        <f t="shared" si="32"/>
        <v>0</v>
      </c>
      <c r="BO18" s="220">
        <f t="shared" si="33"/>
        <v>0</v>
      </c>
      <c r="BP18" s="220">
        <f t="shared" si="34"/>
        <v>0</v>
      </c>
      <c r="BQ18" s="220">
        <f t="shared" si="35"/>
        <v>0</v>
      </c>
      <c r="BR18" s="220">
        <f t="shared" si="36"/>
        <v>15</v>
      </c>
      <c r="BS18" s="220">
        <f t="shared" si="37"/>
        <v>0</v>
      </c>
      <c r="BT18" s="220">
        <f t="shared" si="38"/>
        <v>0.18</v>
      </c>
      <c r="BU18" s="221">
        <f t="shared" si="39"/>
        <v>15.18</v>
      </c>
      <c r="BV18" s="221">
        <f t="shared" si="40"/>
        <v>-15.18</v>
      </c>
      <c r="BW18" s="163"/>
      <c r="BX18" s="155">
        <f t="shared" si="41"/>
        <v>0</v>
      </c>
      <c r="BY18" s="272"/>
      <c r="CA18"/>
    </row>
    <row r="19" spans="1:79" s="171" customFormat="1" ht="19">
      <c r="C19" s="171" t="s">
        <v>95</v>
      </c>
      <c r="F19" s="134">
        <f>EOMONTH(F18,12*F16-1)</f>
        <v>46507</v>
      </c>
      <c r="J19" s="192"/>
      <c r="N19" s="172"/>
      <c r="V19" s="57">
        <f t="shared" si="42"/>
        <v>46477</v>
      </c>
      <c r="W19" s="7">
        <v>3</v>
      </c>
      <c r="X19" s="269" t="str">
        <f t="shared" si="0"/>
        <v>整備期間</v>
      </c>
      <c r="Y19" s="231">
        <f t="shared" si="1"/>
        <v>855</v>
      </c>
      <c r="Z19" s="222">
        <f t="shared" si="2"/>
        <v>448.875</v>
      </c>
      <c r="AA19" s="222">
        <f t="shared" si="3"/>
        <v>1496.25</v>
      </c>
      <c r="AB19" s="222">
        <f t="shared" si="4"/>
        <v>0</v>
      </c>
      <c r="AC19" s="223">
        <f t="shared" si="5"/>
        <v>1303.875</v>
      </c>
      <c r="AD19" s="231">
        <f t="shared" si="6"/>
        <v>2850</v>
      </c>
      <c r="AE19" s="222">
        <f t="shared" si="7"/>
        <v>0</v>
      </c>
      <c r="AF19" s="222">
        <f t="shared" si="8"/>
        <v>10</v>
      </c>
      <c r="AG19" s="222">
        <f>IF(AND(SUM($AA$16:AA18)&gt;0,SUM($AG$16:AG18)&lt;$O$62,$W19&gt;=$O$65),$O$64,0)</f>
        <v>0</v>
      </c>
      <c r="AH19" s="220">
        <f>IF(SUM($AA$17:$AA18)&gt;0,($O$62-SUM($AG$17:$AG18))*$E$65,0)</f>
        <v>0</v>
      </c>
      <c r="AI19" s="223">
        <f t="shared" si="9"/>
        <v>2860</v>
      </c>
      <c r="AJ19" s="220">
        <f t="shared" si="10"/>
        <v>-1556.125</v>
      </c>
      <c r="AK19" s="244"/>
      <c r="AL19" s="245"/>
      <c r="AM19" s="221">
        <f t="shared" si="11"/>
        <v>-1404.9148077742004</v>
      </c>
      <c r="AN19" s="161"/>
      <c r="AO19" s="219">
        <f t="shared" si="12"/>
        <v>855</v>
      </c>
      <c r="AP19" s="220">
        <f t="shared" si="13"/>
        <v>128.25</v>
      </c>
      <c r="AQ19" s="220">
        <f t="shared" si="14"/>
        <v>427.5</v>
      </c>
      <c r="AR19" s="222">
        <f t="shared" si="15"/>
        <v>0</v>
      </c>
      <c r="AS19" s="223">
        <f t="shared" si="16"/>
        <v>983.25</v>
      </c>
      <c r="AT19" s="222">
        <f t="shared" si="17"/>
        <v>1425</v>
      </c>
      <c r="AU19" s="222">
        <f t="shared" si="18"/>
        <v>0</v>
      </c>
      <c r="AV19" s="222">
        <f t="shared" si="19"/>
        <v>0</v>
      </c>
      <c r="AW19" s="222">
        <f t="shared" si="20"/>
        <v>0</v>
      </c>
      <c r="AX19" s="222">
        <f t="shared" si="21"/>
        <v>6</v>
      </c>
      <c r="AY19" s="222">
        <f t="shared" si="22"/>
        <v>0</v>
      </c>
      <c r="AZ19" s="222">
        <f>IF(AND(SUM($AQ$16:AQ18)&gt;0,SUM($AZ$16:AZ18)&lt;$P$62,$W19&gt;=$P$65),$P$64,0)</f>
        <v>0</v>
      </c>
      <c r="BA19" s="222">
        <f>IF(SUM($AQ$17:$AQ18)&gt;0,($P$62-SUM($AZ$17:$AZ18))*$F$65,0)</f>
        <v>0</v>
      </c>
      <c r="BB19" s="223">
        <f t="shared" si="23"/>
        <v>1431</v>
      </c>
      <c r="BC19" s="220">
        <f t="shared" si="24"/>
        <v>-447.75</v>
      </c>
      <c r="BD19" s="221">
        <f t="shared" si="25"/>
        <v>-404.24169342494866</v>
      </c>
      <c r="BE19" s="48"/>
      <c r="BF19" s="46">
        <f t="shared" si="43"/>
        <v>0.90282901937453641</v>
      </c>
      <c r="BG19" s="19"/>
      <c r="BH19" s="219">
        <f t="shared" si="26"/>
        <v>1425</v>
      </c>
      <c r="BI19" s="219">
        <f t="shared" si="27"/>
        <v>0</v>
      </c>
      <c r="BJ19" s="220">
        <f t="shared" si="28"/>
        <v>0</v>
      </c>
      <c r="BK19" s="220">
        <f t="shared" si="29"/>
        <v>0</v>
      </c>
      <c r="BL19" s="220">
        <f t="shared" si="30"/>
        <v>0</v>
      </c>
      <c r="BM19" s="220">
        <f t="shared" si="31"/>
        <v>0</v>
      </c>
      <c r="BN19" s="221">
        <f t="shared" si="32"/>
        <v>1425</v>
      </c>
      <c r="BO19" s="220">
        <f t="shared" si="33"/>
        <v>2850</v>
      </c>
      <c r="BP19" s="220">
        <f t="shared" si="34"/>
        <v>0</v>
      </c>
      <c r="BQ19" s="220">
        <f t="shared" si="35"/>
        <v>0</v>
      </c>
      <c r="BR19" s="220">
        <f t="shared" si="36"/>
        <v>15</v>
      </c>
      <c r="BS19" s="220">
        <f t="shared" si="37"/>
        <v>0</v>
      </c>
      <c r="BT19" s="220">
        <f t="shared" si="38"/>
        <v>0.18</v>
      </c>
      <c r="BU19" s="221">
        <f t="shared" si="39"/>
        <v>2865.18</v>
      </c>
      <c r="BV19" s="221">
        <f t="shared" si="40"/>
        <v>-1440.1799999999998</v>
      </c>
      <c r="BW19" s="163"/>
      <c r="BX19" s="155">
        <f t="shared" si="41"/>
        <v>0</v>
      </c>
      <c r="BY19" s="272"/>
      <c r="BZ19" s="172"/>
    </row>
    <row r="20" spans="1:79" ht="15.75" customHeight="1">
      <c r="C20" t="s">
        <v>96</v>
      </c>
      <c r="F20" s="134">
        <f>F19+1</f>
        <v>46508</v>
      </c>
      <c r="J20" s="170"/>
      <c r="V20" s="57">
        <f t="shared" si="42"/>
        <v>46843</v>
      </c>
      <c r="W20" s="7">
        <v>4</v>
      </c>
      <c r="X20" s="269" t="str">
        <f t="shared" si="0"/>
        <v>維持管理・運営期間</v>
      </c>
      <c r="Y20" s="231">
        <f t="shared" si="1"/>
        <v>0</v>
      </c>
      <c r="Z20" s="222">
        <f t="shared" si="2"/>
        <v>0</v>
      </c>
      <c r="AA20" s="222">
        <f t="shared" si="3"/>
        <v>0</v>
      </c>
      <c r="AB20" s="222">
        <f t="shared" si="4"/>
        <v>0</v>
      </c>
      <c r="AC20" s="223">
        <f t="shared" si="5"/>
        <v>0</v>
      </c>
      <c r="AD20" s="231">
        <f t="shared" si="6"/>
        <v>0</v>
      </c>
      <c r="AE20" s="222">
        <f t="shared" si="7"/>
        <v>50</v>
      </c>
      <c r="AF20" s="222">
        <f t="shared" si="8"/>
        <v>10</v>
      </c>
      <c r="AG20" s="222">
        <f>IF(AND(SUM($AA$16:AA19)&gt;0,SUM($AG$16:AG19)&lt;$O$62,$W20&gt;=$O$65),$O$64,0)</f>
        <v>0</v>
      </c>
      <c r="AH20" s="220">
        <f>IF(SUM($AA$17:$AA19)&gt;0,($O$62-SUM($AG$17:$AG19))*$E$65,0)</f>
        <v>20.199375</v>
      </c>
      <c r="AI20" s="223">
        <f t="shared" si="9"/>
        <v>60</v>
      </c>
      <c r="AJ20" s="220">
        <f t="shared" si="10"/>
        <v>-60</v>
      </c>
      <c r="AK20" s="243">
        <f>(SUM($P$31,$P$51)-SUM($AU$17:AU19))*$O$109</f>
        <v>25.373084220589369</v>
      </c>
      <c r="AL20" s="245"/>
      <c r="AM20" s="221">
        <f t="shared" si="11"/>
        <v>-52.355052219138173</v>
      </c>
      <c r="AN20" s="161"/>
      <c r="AO20" s="219">
        <f t="shared" si="12"/>
        <v>0</v>
      </c>
      <c r="AP20" s="220">
        <f t="shared" si="13"/>
        <v>0</v>
      </c>
      <c r="AQ20" s="220">
        <f t="shared" si="14"/>
        <v>0</v>
      </c>
      <c r="AR20" s="222">
        <f t="shared" si="15"/>
        <v>0</v>
      </c>
      <c r="AS20" s="223">
        <f t="shared" si="16"/>
        <v>0</v>
      </c>
      <c r="AT20" s="222">
        <f t="shared" si="17"/>
        <v>0</v>
      </c>
      <c r="AU20" s="222">
        <f t="shared" si="18"/>
        <v>52.908954041631624</v>
      </c>
      <c r="AV20" s="222">
        <f t="shared" si="19"/>
        <v>62.268084220589373</v>
      </c>
      <c r="AW20" s="222">
        <f t="shared" si="20"/>
        <v>47.5</v>
      </c>
      <c r="AX20" s="222">
        <f t="shared" si="21"/>
        <v>6</v>
      </c>
      <c r="AY20" s="222">
        <f t="shared" si="22"/>
        <v>15.18</v>
      </c>
      <c r="AZ20" s="222">
        <f>IF(AND(SUM($AQ$16:AQ19)&gt;0,SUM($AZ$16:AZ19)&lt;$P$62,$W20&gt;=$P$65),$P$64,0)</f>
        <v>0</v>
      </c>
      <c r="BA20" s="222">
        <f>IF(SUM($AQ$17:$AQ19)&gt;0,($P$62-SUM($AZ$17:$AZ19))*$F$65,0)</f>
        <v>5.7712500000000002</v>
      </c>
      <c r="BB20" s="223">
        <f t="shared" si="23"/>
        <v>183.85703826222101</v>
      </c>
      <c r="BC20" s="220">
        <f t="shared" si="24"/>
        <v>-183.85703826222101</v>
      </c>
      <c r="BD20" s="221">
        <f t="shared" si="25"/>
        <v>-160.43074731791108</v>
      </c>
      <c r="BE20" s="48"/>
      <c r="BF20" s="46">
        <f t="shared" si="43"/>
        <v>0.87258420365230283</v>
      </c>
      <c r="BH20" s="219">
        <f t="shared" si="26"/>
        <v>0</v>
      </c>
      <c r="BI20" s="219">
        <f t="shared" si="27"/>
        <v>52.908954041631624</v>
      </c>
      <c r="BJ20" s="220">
        <f t="shared" si="28"/>
        <v>62.268084220589373</v>
      </c>
      <c r="BK20" s="220">
        <f t="shared" si="29"/>
        <v>47.5</v>
      </c>
      <c r="BL20" s="220">
        <f t="shared" si="30"/>
        <v>15.18</v>
      </c>
      <c r="BM20" s="220">
        <f t="shared" si="31"/>
        <v>0</v>
      </c>
      <c r="BN20" s="221">
        <f t="shared" si="32"/>
        <v>177.85703826222101</v>
      </c>
      <c r="BO20" s="220">
        <f t="shared" si="33"/>
        <v>0</v>
      </c>
      <c r="BP20" s="220">
        <f t="shared" si="34"/>
        <v>47.5</v>
      </c>
      <c r="BQ20" s="220">
        <f t="shared" si="35"/>
        <v>46.56808422058937</v>
      </c>
      <c r="BR20" s="220">
        <f t="shared" si="36"/>
        <v>15</v>
      </c>
      <c r="BS20" s="220">
        <f t="shared" si="37"/>
        <v>0</v>
      </c>
      <c r="BT20" s="220">
        <f t="shared" si="38"/>
        <v>0.18</v>
      </c>
      <c r="BU20" s="221">
        <f t="shared" si="39"/>
        <v>62.68</v>
      </c>
      <c r="BV20" s="221">
        <f t="shared" si="40"/>
        <v>115.177038262221</v>
      </c>
      <c r="BW20" s="163"/>
      <c r="BX20" s="155">
        <f t="shared" si="41"/>
        <v>58.630298501393213</v>
      </c>
      <c r="BY20" s="273">
        <f t="shared" ref="BY20:BY56" si="44">IF(BV20-BX20&gt;=0,0,1)</f>
        <v>0</v>
      </c>
      <c r="CA20"/>
    </row>
    <row r="21" spans="1:79" ht="15.75" customHeight="1">
      <c r="C21" t="s">
        <v>97</v>
      </c>
      <c r="F21" s="134">
        <f>EOMONTH(F20,12*F17-1)</f>
        <v>53812</v>
      </c>
      <c r="J21" s="170"/>
      <c r="V21" s="57">
        <f t="shared" si="42"/>
        <v>47208</v>
      </c>
      <c r="W21" s="7">
        <v>5</v>
      </c>
      <c r="X21" s="269" t="str">
        <f t="shared" si="0"/>
        <v>維持管理・運営期間</v>
      </c>
      <c r="Y21" s="231">
        <f t="shared" si="1"/>
        <v>0</v>
      </c>
      <c r="Z21" s="222">
        <f t="shared" si="2"/>
        <v>0</v>
      </c>
      <c r="AA21" s="222">
        <f t="shared" si="3"/>
        <v>0</v>
      </c>
      <c r="AB21" s="222">
        <f t="shared" si="4"/>
        <v>0</v>
      </c>
      <c r="AC21" s="223">
        <f t="shared" si="5"/>
        <v>0</v>
      </c>
      <c r="AD21" s="231">
        <f t="shared" si="6"/>
        <v>0</v>
      </c>
      <c r="AE21" s="222">
        <f t="shared" si="7"/>
        <v>50</v>
      </c>
      <c r="AF21" s="222">
        <f t="shared" si="8"/>
        <v>10</v>
      </c>
      <c r="AG21" s="222">
        <f>IF(AND(SUM($AA$16:AA20)&gt;0,SUM($AG$16:AG20)&lt;$O$62,$W21&gt;=$O$65),$O$64,0)</f>
        <v>0</v>
      </c>
      <c r="AH21" s="220">
        <f>IF(SUM($AA$17:$AA20)&gt;0,($O$62-SUM($AG$17:$AG20))*$E$65,0)</f>
        <v>20.199375</v>
      </c>
      <c r="AI21" s="223">
        <f t="shared" si="9"/>
        <v>60</v>
      </c>
      <c r="AJ21" s="220">
        <f t="shared" si="10"/>
        <v>-60</v>
      </c>
      <c r="AK21" s="243">
        <f>(SUM($P$31,$P$51)-SUM($AU$17:AU20))*$O$109</f>
        <v>24.518012025097896</v>
      </c>
      <c r="AL21" s="245"/>
      <c r="AM21" s="221">
        <f t="shared" si="11"/>
        <v>-50.60115544298808</v>
      </c>
      <c r="AN21" s="161"/>
      <c r="AO21" s="219">
        <f t="shared" si="12"/>
        <v>0</v>
      </c>
      <c r="AP21" s="220">
        <f t="shared" si="13"/>
        <v>0</v>
      </c>
      <c r="AQ21" s="220">
        <f t="shared" si="14"/>
        <v>0</v>
      </c>
      <c r="AR21" s="222">
        <f t="shared" si="15"/>
        <v>0</v>
      </c>
      <c r="AS21" s="223">
        <f t="shared" si="16"/>
        <v>0</v>
      </c>
      <c r="AT21" s="222">
        <f t="shared" si="17"/>
        <v>0</v>
      </c>
      <c r="AU21" s="222">
        <f t="shared" si="18"/>
        <v>55.007386657101442</v>
      </c>
      <c r="AV21" s="222">
        <f t="shared" si="19"/>
        <v>60.169651605119562</v>
      </c>
      <c r="AW21" s="222">
        <f t="shared" si="20"/>
        <v>47.5</v>
      </c>
      <c r="AX21" s="222">
        <f t="shared" si="21"/>
        <v>6</v>
      </c>
      <c r="AY21" s="222">
        <f t="shared" si="22"/>
        <v>15.18</v>
      </c>
      <c r="AZ21" s="222">
        <f>IF(AND(SUM($AQ$16:AQ20)&gt;0,SUM($AZ$16:AZ20)&lt;$P$62,$W21&gt;=$P$65),$P$64,0)</f>
        <v>0</v>
      </c>
      <c r="BA21" s="222">
        <f>IF(SUM($AQ$17:$AQ20)&gt;0,($P$62-SUM($AZ$17:$AZ20))*$F$65,0)</f>
        <v>5.7712500000000002</v>
      </c>
      <c r="BB21" s="223">
        <f t="shared" si="23"/>
        <v>183.85703826222101</v>
      </c>
      <c r="BC21" s="220">
        <f t="shared" si="24"/>
        <v>-183.85703826222101</v>
      </c>
      <c r="BD21" s="221">
        <f t="shared" si="25"/>
        <v>-155.05630953990087</v>
      </c>
      <c r="BE21" s="48"/>
      <c r="BF21" s="46">
        <f t="shared" si="43"/>
        <v>0.84335259071646795</v>
      </c>
      <c r="BH21" s="219">
        <f t="shared" si="26"/>
        <v>0</v>
      </c>
      <c r="BI21" s="219">
        <f t="shared" si="27"/>
        <v>55.007386657101442</v>
      </c>
      <c r="BJ21" s="220">
        <f t="shared" si="28"/>
        <v>60.169651605119562</v>
      </c>
      <c r="BK21" s="220">
        <f t="shared" si="29"/>
        <v>47.5</v>
      </c>
      <c r="BL21" s="220">
        <f t="shared" si="30"/>
        <v>15.18</v>
      </c>
      <c r="BM21" s="220">
        <f t="shared" si="31"/>
        <v>0</v>
      </c>
      <c r="BN21" s="221">
        <f t="shared" si="32"/>
        <v>177.85703826222101</v>
      </c>
      <c r="BO21" s="220">
        <f t="shared" si="33"/>
        <v>0</v>
      </c>
      <c r="BP21" s="220">
        <f t="shared" si="34"/>
        <v>47.5</v>
      </c>
      <c r="BQ21" s="220">
        <f t="shared" si="35"/>
        <v>44.829039202442125</v>
      </c>
      <c r="BR21" s="220">
        <f t="shared" si="36"/>
        <v>15</v>
      </c>
      <c r="BS21" s="220">
        <f t="shared" si="37"/>
        <v>0</v>
      </c>
      <c r="BT21" s="220">
        <f t="shared" si="38"/>
        <v>0.18</v>
      </c>
      <c r="BU21" s="221">
        <f t="shared" si="39"/>
        <v>62.68</v>
      </c>
      <c r="BV21" s="221">
        <f t="shared" si="40"/>
        <v>115.177038262221</v>
      </c>
      <c r="BW21" s="163"/>
      <c r="BX21" s="155">
        <f t="shared" si="41"/>
        <v>60.369343519540458</v>
      </c>
      <c r="BY21" s="273">
        <f t="shared" si="44"/>
        <v>0</v>
      </c>
      <c r="CA21"/>
    </row>
    <row r="22" spans="1:79" ht="15.75" customHeight="1">
      <c r="B22" s="55" t="s">
        <v>98</v>
      </c>
      <c r="C22" s="19"/>
      <c r="I22" s="71"/>
      <c r="J22" s="170" t="s">
        <v>98</v>
      </c>
      <c r="N22" s="19" t="s">
        <v>38</v>
      </c>
      <c r="O22" s="36">
        <f>SUM(F23:F24)</f>
        <v>3.4661200140502779E-2</v>
      </c>
      <c r="V22" s="57">
        <f t="shared" si="42"/>
        <v>47573</v>
      </c>
      <c r="W22" s="7">
        <v>6</v>
      </c>
      <c r="X22" s="269" t="str">
        <f t="shared" si="0"/>
        <v>維持管理・運営期間</v>
      </c>
      <c r="Y22" s="231">
        <f t="shared" si="1"/>
        <v>0</v>
      </c>
      <c r="Z22" s="222">
        <f t="shared" si="2"/>
        <v>0</v>
      </c>
      <c r="AA22" s="222">
        <f t="shared" si="3"/>
        <v>0</v>
      </c>
      <c r="AB22" s="222">
        <f t="shared" si="4"/>
        <v>0</v>
      </c>
      <c r="AC22" s="223">
        <f t="shared" si="5"/>
        <v>0</v>
      </c>
      <c r="AD22" s="231">
        <f t="shared" si="6"/>
        <v>0</v>
      </c>
      <c r="AE22" s="222">
        <f t="shared" si="7"/>
        <v>50</v>
      </c>
      <c r="AF22" s="222">
        <f t="shared" si="8"/>
        <v>10</v>
      </c>
      <c r="AG22" s="222">
        <f>IF(AND(SUM($AA$16:AA21)&gt;0,SUM($AG$16:AG21)&lt;$O$62,$W22&gt;=$O$65),$O$64,0)</f>
        <v>0</v>
      </c>
      <c r="AH22" s="220">
        <f>IF(SUM($AA$17:$AA21)&gt;0,($O$62-SUM($AG$17:$AG21))*$E$65,0)</f>
        <v>20.199375</v>
      </c>
      <c r="AI22" s="223">
        <f t="shared" si="9"/>
        <v>60</v>
      </c>
      <c r="AJ22" s="220">
        <f t="shared" si="10"/>
        <v>-60</v>
      </c>
      <c r="AK22" s="243">
        <f>(SUM($P$31,$P$51)-SUM($AU$17:AU21))*$O$109</f>
        <v>23.629026640126458</v>
      </c>
      <c r="AL22" s="245"/>
      <c r="AM22" s="221">
        <f t="shared" si="11"/>
        <v>-48.906014293487232</v>
      </c>
      <c r="AN22" s="161"/>
      <c r="AO22" s="219">
        <f t="shared" si="12"/>
        <v>0</v>
      </c>
      <c r="AP22" s="220">
        <f t="shared" si="13"/>
        <v>0</v>
      </c>
      <c r="AQ22" s="220">
        <f t="shared" si="14"/>
        <v>0</v>
      </c>
      <c r="AR22" s="222">
        <f t="shared" si="15"/>
        <v>0</v>
      </c>
      <c r="AS22" s="223">
        <f t="shared" si="16"/>
        <v>0</v>
      </c>
      <c r="AT22" s="222">
        <f t="shared" si="17"/>
        <v>0</v>
      </c>
      <c r="AU22" s="222">
        <f t="shared" si="18"/>
        <v>57.189045628514755</v>
      </c>
      <c r="AV22" s="222">
        <f t="shared" si="19"/>
        <v>57.987992633706234</v>
      </c>
      <c r="AW22" s="222">
        <f t="shared" si="20"/>
        <v>47.5</v>
      </c>
      <c r="AX22" s="222">
        <f t="shared" si="21"/>
        <v>6</v>
      </c>
      <c r="AY22" s="222">
        <f t="shared" si="22"/>
        <v>15.18</v>
      </c>
      <c r="AZ22" s="222">
        <f>IF(AND(SUM($AQ$16:AQ21)&gt;0,SUM($AZ$16:AZ21)&lt;$P$62,$W22&gt;=$P$65),$P$64,0)</f>
        <v>0</v>
      </c>
      <c r="BA22" s="222">
        <f>IF(SUM($AQ$17:$AQ21)&gt;0,($P$62-SUM($AZ$17:$AZ21))*$F$65,0)</f>
        <v>5.7712500000000002</v>
      </c>
      <c r="BB22" s="223">
        <f t="shared" si="23"/>
        <v>183.85703826222101</v>
      </c>
      <c r="BC22" s="220">
        <f t="shared" si="24"/>
        <v>-183.85703826222101</v>
      </c>
      <c r="BD22" s="221">
        <f t="shared" si="25"/>
        <v>-149.86191568684015</v>
      </c>
      <c r="BE22" s="48"/>
      <c r="BF22" s="46">
        <f t="shared" si="43"/>
        <v>0.81510023822478717</v>
      </c>
      <c r="BH22" s="219">
        <f t="shared" si="26"/>
        <v>0</v>
      </c>
      <c r="BI22" s="219">
        <f t="shared" si="27"/>
        <v>57.189045628514755</v>
      </c>
      <c r="BJ22" s="220">
        <f t="shared" si="28"/>
        <v>57.987992633706234</v>
      </c>
      <c r="BK22" s="220">
        <f t="shared" si="29"/>
        <v>47.5</v>
      </c>
      <c r="BL22" s="220">
        <f t="shared" si="30"/>
        <v>15.18</v>
      </c>
      <c r="BM22" s="220">
        <f t="shared" si="31"/>
        <v>0</v>
      </c>
      <c r="BN22" s="221">
        <f t="shared" si="32"/>
        <v>177.85703826222101</v>
      </c>
      <c r="BO22" s="220">
        <f t="shared" si="33"/>
        <v>0</v>
      </c>
      <c r="BP22" s="220">
        <f t="shared" si="34"/>
        <v>47.5</v>
      </c>
      <c r="BQ22" s="220">
        <f t="shared" si="35"/>
        <v>43.038412021958273</v>
      </c>
      <c r="BR22" s="220">
        <f t="shared" si="36"/>
        <v>15</v>
      </c>
      <c r="BS22" s="220">
        <f t="shared" si="37"/>
        <v>0</v>
      </c>
      <c r="BT22" s="220">
        <f t="shared" si="38"/>
        <v>0.18</v>
      </c>
      <c r="BU22" s="221">
        <f t="shared" si="39"/>
        <v>62.68</v>
      </c>
      <c r="BV22" s="221">
        <f t="shared" si="40"/>
        <v>115.177038262221</v>
      </c>
      <c r="BW22" s="163"/>
      <c r="BX22" s="155">
        <f t="shared" si="41"/>
        <v>62.159970700024317</v>
      </c>
      <c r="BY22" s="273">
        <f t="shared" si="44"/>
        <v>0</v>
      </c>
      <c r="CA22"/>
    </row>
    <row r="23" spans="1:79" ht="15.75" customHeight="1">
      <c r="C23" t="s">
        <v>99</v>
      </c>
      <c r="F23" s="15">
        <v>1.4661200140502781E-2</v>
      </c>
      <c r="H23" t="s">
        <v>100</v>
      </c>
      <c r="J23" s="170"/>
      <c r="V23" s="57">
        <f t="shared" si="42"/>
        <v>47938</v>
      </c>
      <c r="W23" s="7">
        <v>7</v>
      </c>
      <c r="X23" s="269" t="str">
        <f t="shared" si="0"/>
        <v>維持管理・運営期間</v>
      </c>
      <c r="Y23" s="231">
        <f t="shared" si="1"/>
        <v>0</v>
      </c>
      <c r="Z23" s="222">
        <f t="shared" si="2"/>
        <v>0</v>
      </c>
      <c r="AA23" s="222">
        <f t="shared" si="3"/>
        <v>0</v>
      </c>
      <c r="AB23" s="222">
        <f t="shared" si="4"/>
        <v>0</v>
      </c>
      <c r="AC23" s="223">
        <f t="shared" si="5"/>
        <v>0</v>
      </c>
      <c r="AD23" s="231">
        <f t="shared" si="6"/>
        <v>0</v>
      </c>
      <c r="AE23" s="222">
        <f t="shared" si="7"/>
        <v>50</v>
      </c>
      <c r="AF23" s="222">
        <f t="shared" si="8"/>
        <v>10</v>
      </c>
      <c r="AG23" s="222">
        <f>IF(AND(SUM($AA$16:AA22)&gt;0,SUM($AG$16:AG22)&lt;$O$62,$W23&gt;=$O$65),$O$64,0)</f>
        <v>65.054347826086953</v>
      </c>
      <c r="AH23" s="220">
        <f>IF(SUM($AA$17:$AA22)&gt;0,($O$62-SUM($AG$17:$AG22))*$E$65,0)</f>
        <v>20.199375</v>
      </c>
      <c r="AI23" s="223">
        <f t="shared" si="9"/>
        <v>60</v>
      </c>
      <c r="AJ23" s="220">
        <f t="shared" si="10"/>
        <v>-60</v>
      </c>
      <c r="AK23" s="243">
        <f>(SUM($P$31,$P$51)-SUM($AU$17:AU22))*$O$109</f>
        <v>22.704783027879689</v>
      </c>
      <c r="AL23" s="245"/>
      <c r="AM23" s="221">
        <f t="shared" si="11"/>
        <v>-47.267660454307169</v>
      </c>
      <c r="AN23" s="161"/>
      <c r="AO23" s="219">
        <f t="shared" si="12"/>
        <v>0</v>
      </c>
      <c r="AP23" s="220">
        <f t="shared" si="13"/>
        <v>0</v>
      </c>
      <c r="AQ23" s="220">
        <f t="shared" si="14"/>
        <v>0</v>
      </c>
      <c r="AR23" s="222">
        <f t="shared" si="15"/>
        <v>0</v>
      </c>
      <c r="AS23" s="223">
        <f t="shared" si="16"/>
        <v>0</v>
      </c>
      <c r="AT23" s="222">
        <f t="shared" si="17"/>
        <v>0</v>
      </c>
      <c r="AU23" s="222">
        <f t="shared" si="18"/>
        <v>59.457231813031626</v>
      </c>
      <c r="AV23" s="222">
        <f t="shared" si="19"/>
        <v>55.719806449189363</v>
      </c>
      <c r="AW23" s="222">
        <f t="shared" si="20"/>
        <v>47.5</v>
      </c>
      <c r="AX23" s="222">
        <f t="shared" si="21"/>
        <v>6</v>
      </c>
      <c r="AY23" s="222">
        <f t="shared" si="22"/>
        <v>15.18</v>
      </c>
      <c r="AZ23" s="222">
        <f>IF(AND(SUM($AQ$16:AQ22)&gt;0,SUM($AZ$16:AZ22)&lt;$P$62,$W23&gt;=$P$65),$P$64,0)</f>
        <v>18.586956521739129</v>
      </c>
      <c r="BA23" s="222">
        <f>IF(SUM($AQ$17:$AQ22)&gt;0,($P$62-SUM($AZ$17:$AZ22))*$F$65,0)</f>
        <v>5.7712500000000002</v>
      </c>
      <c r="BB23" s="223">
        <f t="shared" si="23"/>
        <v>183.85703826222101</v>
      </c>
      <c r="BC23" s="220">
        <f t="shared" si="24"/>
        <v>-183.85703826222101</v>
      </c>
      <c r="BD23" s="221">
        <f t="shared" si="25"/>
        <v>-144.84153427855372</v>
      </c>
      <c r="BE23" s="48"/>
      <c r="BF23" s="46">
        <f t="shared" si="43"/>
        <v>0.78779434090511946</v>
      </c>
      <c r="BH23" s="219">
        <f t="shared" si="26"/>
        <v>0</v>
      </c>
      <c r="BI23" s="219">
        <f t="shared" si="27"/>
        <v>59.457231813031626</v>
      </c>
      <c r="BJ23" s="220">
        <f t="shared" si="28"/>
        <v>55.719806449189363</v>
      </c>
      <c r="BK23" s="220">
        <f t="shared" si="29"/>
        <v>47.5</v>
      </c>
      <c r="BL23" s="220">
        <f t="shared" si="30"/>
        <v>15.18</v>
      </c>
      <c r="BM23" s="220">
        <f t="shared" si="31"/>
        <v>0</v>
      </c>
      <c r="BN23" s="221">
        <f t="shared" si="32"/>
        <v>177.85703826222101</v>
      </c>
      <c r="BO23" s="220">
        <f t="shared" si="33"/>
        <v>0</v>
      </c>
      <c r="BP23" s="220">
        <f t="shared" si="34"/>
        <v>47.5</v>
      </c>
      <c r="BQ23" s="220">
        <f t="shared" si="35"/>
        <v>41.194672690297061</v>
      </c>
      <c r="BR23" s="220">
        <f t="shared" si="36"/>
        <v>15</v>
      </c>
      <c r="BS23" s="220">
        <f t="shared" si="37"/>
        <v>0</v>
      </c>
      <c r="BT23" s="220">
        <f t="shared" si="38"/>
        <v>0.18</v>
      </c>
      <c r="BU23" s="221">
        <f t="shared" si="39"/>
        <v>62.68</v>
      </c>
      <c r="BV23" s="221">
        <f t="shared" si="40"/>
        <v>115.177038262221</v>
      </c>
      <c r="BW23" s="163"/>
      <c r="BX23" s="155">
        <f t="shared" si="41"/>
        <v>64.003710031685515</v>
      </c>
      <c r="BY23" s="273">
        <f t="shared" si="44"/>
        <v>0</v>
      </c>
      <c r="CA23"/>
    </row>
    <row r="24" spans="1:79" ht="15.75" customHeight="1">
      <c r="C24" t="s">
        <v>5</v>
      </c>
      <c r="F24" s="193">
        <f>事業費用概算!J34</f>
        <v>1.9999999999999997E-2</v>
      </c>
      <c r="J24" s="170"/>
      <c r="V24" s="57">
        <f t="shared" si="42"/>
        <v>48304</v>
      </c>
      <c r="W24" s="7">
        <v>8</v>
      </c>
      <c r="X24" s="269" t="str">
        <f t="shared" si="0"/>
        <v>維持管理・運営期間</v>
      </c>
      <c r="Y24" s="231">
        <f t="shared" si="1"/>
        <v>0</v>
      </c>
      <c r="Z24" s="222">
        <f t="shared" si="2"/>
        <v>0</v>
      </c>
      <c r="AA24" s="222">
        <f t="shared" si="3"/>
        <v>0</v>
      </c>
      <c r="AB24" s="222">
        <f t="shared" si="4"/>
        <v>0</v>
      </c>
      <c r="AC24" s="223">
        <f t="shared" si="5"/>
        <v>0</v>
      </c>
      <c r="AD24" s="231">
        <f t="shared" si="6"/>
        <v>0</v>
      </c>
      <c r="AE24" s="222">
        <f t="shared" si="7"/>
        <v>50</v>
      </c>
      <c r="AF24" s="222">
        <f t="shared" si="8"/>
        <v>10</v>
      </c>
      <c r="AG24" s="222">
        <f>IF(AND(SUM($AA$16:AA23)&gt;0,SUM($AG$16:AG23)&lt;$O$62,$W24&gt;=$O$65),$O$64,0)</f>
        <v>65.054347826086953</v>
      </c>
      <c r="AH24" s="220">
        <f>IF(SUM($AA$17:$AA23)&gt;0,($O$62-SUM($AG$17:$AG23))*$E$65,0)</f>
        <v>19.321141304347826</v>
      </c>
      <c r="AI24" s="223">
        <f t="shared" si="9"/>
        <v>60</v>
      </c>
      <c r="AJ24" s="220">
        <f t="shared" si="10"/>
        <v>-60</v>
      </c>
      <c r="AK24" s="243">
        <f>(SUM($P$31,$P$51)-SUM($AU$17:AU23))*$O$109</f>
        <v>21.743882804749013</v>
      </c>
      <c r="AL24" s="245"/>
      <c r="AM24" s="221">
        <f t="shared" si="11"/>
        <v>-45.684191547811416</v>
      </c>
      <c r="AN24" s="161"/>
      <c r="AO24" s="219">
        <f t="shared" si="12"/>
        <v>0</v>
      </c>
      <c r="AP24" s="220">
        <f t="shared" si="13"/>
        <v>0</v>
      </c>
      <c r="AQ24" s="220">
        <f t="shared" si="14"/>
        <v>0</v>
      </c>
      <c r="AR24" s="222">
        <f t="shared" si="15"/>
        <v>0</v>
      </c>
      <c r="AS24" s="223">
        <f t="shared" si="16"/>
        <v>0</v>
      </c>
      <c r="AT24" s="222">
        <f t="shared" si="17"/>
        <v>0</v>
      </c>
      <c r="AU24" s="222">
        <f t="shared" si="18"/>
        <v>61.815376983768537</v>
      </c>
      <c r="AV24" s="222">
        <f t="shared" si="19"/>
        <v>53.361661278452452</v>
      </c>
      <c r="AW24" s="222">
        <f t="shared" si="20"/>
        <v>47.5</v>
      </c>
      <c r="AX24" s="222">
        <f t="shared" si="21"/>
        <v>6</v>
      </c>
      <c r="AY24" s="222">
        <f t="shared" si="22"/>
        <v>15.18</v>
      </c>
      <c r="AZ24" s="222">
        <f>IF(AND(SUM($AQ$16:AQ23)&gt;0,SUM($AZ$16:AZ23)&lt;$P$62,$W24&gt;=$P$65),$P$64,0)</f>
        <v>18.586956521739129</v>
      </c>
      <c r="BA24" s="222">
        <f>IF(SUM($AQ$17:$AQ23)&gt;0,($P$62-SUM($AZ$17:$AZ23))*$F$65,0)</f>
        <v>5.5203260869565218</v>
      </c>
      <c r="BB24" s="223">
        <f t="shared" si="23"/>
        <v>183.85703826222101</v>
      </c>
      <c r="BC24" s="220">
        <f t="shared" si="24"/>
        <v>-183.85703826222101</v>
      </c>
      <c r="BD24" s="221">
        <f t="shared" si="25"/>
        <v>-139.9893358897433</v>
      </c>
      <c r="BE24" s="48"/>
      <c r="BF24" s="46">
        <f t="shared" si="43"/>
        <v>0.76140319246352361</v>
      </c>
      <c r="BH24" s="219">
        <f t="shared" si="26"/>
        <v>0</v>
      </c>
      <c r="BI24" s="219">
        <f t="shared" si="27"/>
        <v>61.815376983768537</v>
      </c>
      <c r="BJ24" s="220">
        <f t="shared" si="28"/>
        <v>53.361661278452452</v>
      </c>
      <c r="BK24" s="220">
        <f t="shared" si="29"/>
        <v>47.5</v>
      </c>
      <c r="BL24" s="220">
        <f t="shared" si="30"/>
        <v>15.18</v>
      </c>
      <c r="BM24" s="220">
        <f t="shared" si="31"/>
        <v>0</v>
      </c>
      <c r="BN24" s="221">
        <f t="shared" si="32"/>
        <v>177.85703826222101</v>
      </c>
      <c r="BO24" s="220">
        <f t="shared" si="33"/>
        <v>0</v>
      </c>
      <c r="BP24" s="220">
        <f t="shared" si="34"/>
        <v>47.5</v>
      </c>
      <c r="BQ24" s="220">
        <f t="shared" si="35"/>
        <v>39.296245837312526</v>
      </c>
      <c r="BR24" s="220">
        <f t="shared" si="36"/>
        <v>15</v>
      </c>
      <c r="BS24" s="220">
        <f t="shared" si="37"/>
        <v>0</v>
      </c>
      <c r="BT24" s="220">
        <f t="shared" si="38"/>
        <v>0.18</v>
      </c>
      <c r="BU24" s="221">
        <f t="shared" si="39"/>
        <v>62.68</v>
      </c>
      <c r="BV24" s="221">
        <f t="shared" si="40"/>
        <v>115.177038262221</v>
      </c>
      <c r="BW24" s="163"/>
      <c r="BX24" s="155">
        <f t="shared" si="41"/>
        <v>65.902136884670043</v>
      </c>
      <c r="BY24" s="273">
        <f t="shared" si="44"/>
        <v>0</v>
      </c>
      <c r="CA24"/>
    </row>
    <row r="25" spans="1:79" ht="15.75" customHeight="1">
      <c r="J25" s="170"/>
      <c r="V25" s="57">
        <f t="shared" si="42"/>
        <v>48669</v>
      </c>
      <c r="W25" s="7">
        <v>9</v>
      </c>
      <c r="X25" s="269" t="str">
        <f t="shared" si="0"/>
        <v>維持管理・運営期間</v>
      </c>
      <c r="Y25" s="231">
        <f t="shared" si="1"/>
        <v>0</v>
      </c>
      <c r="Z25" s="222">
        <f t="shared" si="2"/>
        <v>0</v>
      </c>
      <c r="AA25" s="222">
        <f t="shared" si="3"/>
        <v>0</v>
      </c>
      <c r="AB25" s="222">
        <f t="shared" si="4"/>
        <v>0</v>
      </c>
      <c r="AC25" s="223">
        <f t="shared" si="5"/>
        <v>0</v>
      </c>
      <c r="AD25" s="231">
        <f t="shared" si="6"/>
        <v>0</v>
      </c>
      <c r="AE25" s="222">
        <f t="shared" si="7"/>
        <v>50</v>
      </c>
      <c r="AF25" s="222">
        <f t="shared" si="8"/>
        <v>10</v>
      </c>
      <c r="AG25" s="222">
        <f>IF(AND(SUM($AA$16:AA24)&gt;0,SUM($AG$16:AG24)&lt;$O$62,$W25&gt;=$O$65),$O$64,0)</f>
        <v>65.054347826086953</v>
      </c>
      <c r="AH25" s="220">
        <f>IF(SUM($AA$17:$AA24)&gt;0,($O$62-SUM($AG$17:$AG24))*$E$65,0)</f>
        <v>18.442907608695652</v>
      </c>
      <c r="AI25" s="223">
        <f t="shared" si="9"/>
        <v>60</v>
      </c>
      <c r="AJ25" s="220">
        <f t="shared" si="10"/>
        <v>-60</v>
      </c>
      <c r="AK25" s="243">
        <f>(SUM($P$31,$P$51)-SUM($AU$17:AU24))*$O$109</f>
        <v>20.744872125553698</v>
      </c>
      <c r="AL25" s="245"/>
      <c r="AM25" s="221">
        <f t="shared" si="11"/>
        <v>-44.153768926106146</v>
      </c>
      <c r="AN25" s="161"/>
      <c r="AO25" s="219">
        <f t="shared" si="12"/>
        <v>0</v>
      </c>
      <c r="AP25" s="220">
        <f t="shared" si="13"/>
        <v>0</v>
      </c>
      <c r="AQ25" s="220">
        <f t="shared" si="14"/>
        <v>0</v>
      </c>
      <c r="AR25" s="222">
        <f t="shared" si="15"/>
        <v>0</v>
      </c>
      <c r="AS25" s="223">
        <f t="shared" si="16"/>
        <v>0</v>
      </c>
      <c r="AT25" s="222">
        <f t="shared" si="17"/>
        <v>0</v>
      </c>
      <c r="AU25" s="222">
        <f t="shared" si="18"/>
        <v>64.267049022082418</v>
      </c>
      <c r="AV25" s="222">
        <f t="shared" si="19"/>
        <v>50.909989240138579</v>
      </c>
      <c r="AW25" s="222">
        <f t="shared" si="20"/>
        <v>47.5</v>
      </c>
      <c r="AX25" s="222">
        <f t="shared" si="21"/>
        <v>6</v>
      </c>
      <c r="AY25" s="222">
        <f t="shared" si="22"/>
        <v>15.18</v>
      </c>
      <c r="AZ25" s="222">
        <f>IF(AND(SUM($AQ$16:AQ24)&gt;0,SUM($AZ$16:AZ24)&lt;$P$62,$W25&gt;=$P$65),$P$64,0)</f>
        <v>18.586956521739129</v>
      </c>
      <c r="BA25" s="222">
        <f>IF(SUM($AQ$17:$AQ24)&gt;0,($P$62-SUM($AZ$17:$AZ24))*$F$65,0)</f>
        <v>5.2694021739130434</v>
      </c>
      <c r="BB25" s="223">
        <f t="shared" si="23"/>
        <v>183.85703826222101</v>
      </c>
      <c r="BC25" s="220">
        <f t="shared" si="24"/>
        <v>-183.85703826222101</v>
      </c>
      <c r="BD25" s="221">
        <f t="shared" si="25"/>
        <v>-135.2996863811394</v>
      </c>
      <c r="BE25" s="48"/>
      <c r="BF25" s="46">
        <f t="shared" si="43"/>
        <v>0.73589614876843579</v>
      </c>
      <c r="BH25" s="219">
        <f t="shared" si="26"/>
        <v>0</v>
      </c>
      <c r="BI25" s="219">
        <f t="shared" si="27"/>
        <v>64.267049022082418</v>
      </c>
      <c r="BJ25" s="220">
        <f t="shared" si="28"/>
        <v>50.909989240138579</v>
      </c>
      <c r="BK25" s="220">
        <f t="shared" si="29"/>
        <v>47.5</v>
      </c>
      <c r="BL25" s="220">
        <f t="shared" si="30"/>
        <v>15.18</v>
      </c>
      <c r="BM25" s="220">
        <f t="shared" si="31"/>
        <v>0</v>
      </c>
      <c r="BN25" s="221">
        <f t="shared" si="32"/>
        <v>177.85703826222101</v>
      </c>
      <c r="BO25" s="220">
        <f t="shared" si="33"/>
        <v>0</v>
      </c>
      <c r="BP25" s="220">
        <f t="shared" si="34"/>
        <v>47.5</v>
      </c>
      <c r="BQ25" s="220">
        <f t="shared" si="35"/>
        <v>37.341509365489529</v>
      </c>
      <c r="BR25" s="220">
        <f t="shared" si="36"/>
        <v>15</v>
      </c>
      <c r="BS25" s="220">
        <f t="shared" si="37"/>
        <v>0</v>
      </c>
      <c r="BT25" s="220">
        <f t="shared" si="38"/>
        <v>0.18</v>
      </c>
      <c r="BU25" s="221">
        <f t="shared" si="39"/>
        <v>62.68</v>
      </c>
      <c r="BV25" s="221">
        <f t="shared" si="40"/>
        <v>115.177038262221</v>
      </c>
      <c r="BW25" s="163"/>
      <c r="BX25" s="155">
        <f t="shared" si="41"/>
        <v>67.856873356493054</v>
      </c>
      <c r="BY25" s="273">
        <f t="shared" si="44"/>
        <v>0</v>
      </c>
      <c r="CA25"/>
    </row>
    <row r="26" spans="1:79" ht="13.5" customHeight="1">
      <c r="J26" s="170"/>
      <c r="V26" s="57">
        <f t="shared" si="42"/>
        <v>49034</v>
      </c>
      <c r="W26" s="7">
        <v>10</v>
      </c>
      <c r="X26" s="269" t="str">
        <f t="shared" si="0"/>
        <v>維持管理・運営期間</v>
      </c>
      <c r="Y26" s="231">
        <f t="shared" si="1"/>
        <v>0</v>
      </c>
      <c r="Z26" s="222">
        <f t="shared" si="2"/>
        <v>0</v>
      </c>
      <c r="AA26" s="222">
        <f t="shared" si="3"/>
        <v>0</v>
      </c>
      <c r="AB26" s="222">
        <f t="shared" si="4"/>
        <v>0</v>
      </c>
      <c r="AC26" s="223">
        <f t="shared" si="5"/>
        <v>0</v>
      </c>
      <c r="AD26" s="231">
        <f t="shared" si="6"/>
        <v>0</v>
      </c>
      <c r="AE26" s="222">
        <f t="shared" si="7"/>
        <v>50</v>
      </c>
      <c r="AF26" s="222">
        <f t="shared" si="8"/>
        <v>10</v>
      </c>
      <c r="AG26" s="222">
        <f>IF(AND(SUM($AA$16:AA25)&gt;0,SUM($AG$16:AG25)&lt;$O$62,$W26&gt;=$O$65),$O$64,0)</f>
        <v>65.054347826086953</v>
      </c>
      <c r="AH26" s="220">
        <f>IF(SUM($AA$17:$AA25)&gt;0,($O$62-SUM($AG$17:$AG25))*$E$65,0)</f>
        <v>17.564673913043478</v>
      </c>
      <c r="AI26" s="223">
        <f t="shared" si="9"/>
        <v>60</v>
      </c>
      <c r="AJ26" s="220">
        <f t="shared" si="10"/>
        <v>-60</v>
      </c>
      <c r="AK26" s="243">
        <f>(SUM($P$31,$P$51)-SUM($AU$17:AU25))*$O$109</f>
        <v>19.706239483868323</v>
      </c>
      <c r="AL26" s="245"/>
      <c r="AM26" s="221">
        <f t="shared" si="11"/>
        <v>-42.674615536090698</v>
      </c>
      <c r="AN26" s="161"/>
      <c r="AO26" s="219">
        <f t="shared" si="12"/>
        <v>0</v>
      </c>
      <c r="AP26" s="220">
        <f t="shared" si="13"/>
        <v>0</v>
      </c>
      <c r="AQ26" s="220">
        <f t="shared" si="14"/>
        <v>0</v>
      </c>
      <c r="AR26" s="222">
        <f t="shared" si="15"/>
        <v>0</v>
      </c>
      <c r="AS26" s="223">
        <f t="shared" si="16"/>
        <v>0</v>
      </c>
      <c r="AT26" s="222">
        <f t="shared" si="17"/>
        <v>0</v>
      </c>
      <c r="AU26" s="222">
        <f t="shared" si="18"/>
        <v>66.815957315786733</v>
      </c>
      <c r="AV26" s="222">
        <f t="shared" si="19"/>
        <v>48.361080946434257</v>
      </c>
      <c r="AW26" s="222">
        <f t="shared" si="20"/>
        <v>47.5</v>
      </c>
      <c r="AX26" s="222">
        <f t="shared" si="21"/>
        <v>6</v>
      </c>
      <c r="AY26" s="222">
        <f t="shared" si="22"/>
        <v>15.18</v>
      </c>
      <c r="AZ26" s="222">
        <f>IF(AND(SUM($AQ$16:AQ25)&gt;0,SUM($AZ$16:AZ25)&lt;$P$62,$W26&gt;=$P$65),$P$64,0)</f>
        <v>18.586956521739129</v>
      </c>
      <c r="BA26" s="222">
        <f>IF(SUM($AQ$17:$AQ25)&gt;0,($P$62-SUM($AZ$17:$AZ25))*$F$65,0)</f>
        <v>5.0184782608695651</v>
      </c>
      <c r="BB26" s="223">
        <f t="shared" si="23"/>
        <v>183.85703826222101</v>
      </c>
      <c r="BC26" s="220">
        <f t="shared" si="24"/>
        <v>-183.85703826222101</v>
      </c>
      <c r="BD26" s="221">
        <f t="shared" si="25"/>
        <v>-130.76714035741</v>
      </c>
      <c r="BE26" s="48"/>
      <c r="BF26" s="46">
        <f t="shared" si="43"/>
        <v>0.71124359226817835</v>
      </c>
      <c r="BH26" s="219">
        <f t="shared" si="26"/>
        <v>0</v>
      </c>
      <c r="BI26" s="219">
        <f t="shared" si="27"/>
        <v>66.815957315786733</v>
      </c>
      <c r="BJ26" s="220">
        <f t="shared" si="28"/>
        <v>48.361080946434257</v>
      </c>
      <c r="BK26" s="220">
        <f t="shared" si="29"/>
        <v>47.5</v>
      </c>
      <c r="BL26" s="220">
        <f t="shared" si="30"/>
        <v>15.18</v>
      </c>
      <c r="BM26" s="220">
        <f t="shared" si="31"/>
        <v>0</v>
      </c>
      <c r="BN26" s="221">
        <f t="shared" si="32"/>
        <v>177.85703826222101</v>
      </c>
      <c r="BO26" s="220">
        <f t="shared" si="33"/>
        <v>0</v>
      </c>
      <c r="BP26" s="220">
        <f t="shared" si="34"/>
        <v>47.5</v>
      </c>
      <c r="BQ26" s="220">
        <f t="shared" si="35"/>
        <v>35.328793063953832</v>
      </c>
      <c r="BR26" s="220">
        <f t="shared" si="36"/>
        <v>15</v>
      </c>
      <c r="BS26" s="220">
        <f t="shared" si="37"/>
        <v>0</v>
      </c>
      <c r="BT26" s="220">
        <f t="shared" si="38"/>
        <v>0.18</v>
      </c>
      <c r="BU26" s="221">
        <f t="shared" si="39"/>
        <v>62.68</v>
      </c>
      <c r="BV26" s="221">
        <f t="shared" si="40"/>
        <v>115.177038262221</v>
      </c>
      <c r="BW26" s="163"/>
      <c r="BX26" s="155">
        <f t="shared" si="41"/>
        <v>69.869589658028758</v>
      </c>
      <c r="BY26" s="273">
        <f t="shared" si="44"/>
        <v>0</v>
      </c>
      <c r="CA26"/>
    </row>
    <row r="27" spans="1:79" ht="15.75" customHeight="1">
      <c r="A27" s="4" t="s">
        <v>101</v>
      </c>
      <c r="H27" s="71"/>
      <c r="I27" s="71"/>
      <c r="J27" s="4" t="s">
        <v>102</v>
      </c>
      <c r="V27" s="57">
        <f t="shared" si="42"/>
        <v>49399</v>
      </c>
      <c r="W27" s="7">
        <v>11</v>
      </c>
      <c r="X27" s="269" t="str">
        <f t="shared" si="0"/>
        <v>維持管理・運営期間</v>
      </c>
      <c r="Y27" s="231">
        <f t="shared" si="1"/>
        <v>0</v>
      </c>
      <c r="Z27" s="222">
        <f t="shared" si="2"/>
        <v>0</v>
      </c>
      <c r="AA27" s="222">
        <f t="shared" si="3"/>
        <v>0</v>
      </c>
      <c r="AB27" s="222">
        <f t="shared" si="4"/>
        <v>0</v>
      </c>
      <c r="AC27" s="223">
        <f t="shared" si="5"/>
        <v>0</v>
      </c>
      <c r="AD27" s="231">
        <f t="shared" si="6"/>
        <v>0</v>
      </c>
      <c r="AE27" s="222">
        <f t="shared" si="7"/>
        <v>50</v>
      </c>
      <c r="AF27" s="222">
        <f t="shared" si="8"/>
        <v>10</v>
      </c>
      <c r="AG27" s="222">
        <f>IF(AND(SUM($AA$16:AA26)&gt;0,SUM($AG$16:AG26)&lt;$O$62,$W27&gt;=$O$65),$O$64,0)</f>
        <v>65.054347826086953</v>
      </c>
      <c r="AH27" s="220">
        <f>IF(SUM($AA$17:$AA26)&gt;0,($O$62-SUM($AG$17:$AG26))*$E$65,0)</f>
        <v>16.686440217391304</v>
      </c>
      <c r="AI27" s="223">
        <f t="shared" si="9"/>
        <v>60</v>
      </c>
      <c r="AJ27" s="220">
        <f t="shared" si="10"/>
        <v>-60</v>
      </c>
      <c r="AK27" s="243">
        <f>(SUM($P$31,$P$51)-SUM($AU$17:AU26))*$O$109</f>
        <v>18.626413425108606</v>
      </c>
      <c r="AL27" s="245"/>
      <c r="AM27" s="221">
        <f t="shared" si="11"/>
        <v>-41.245013856029068</v>
      </c>
      <c r="AN27" s="161"/>
      <c r="AO27" s="219">
        <f t="shared" si="12"/>
        <v>0</v>
      </c>
      <c r="AP27" s="220">
        <f t="shared" si="13"/>
        <v>0</v>
      </c>
      <c r="AQ27" s="220">
        <f t="shared" si="14"/>
        <v>0</v>
      </c>
      <c r="AR27" s="222">
        <f t="shared" si="15"/>
        <v>0</v>
      </c>
      <c r="AS27" s="223">
        <f t="shared" si="16"/>
        <v>0</v>
      </c>
      <c r="AT27" s="222">
        <f t="shared" si="17"/>
        <v>0</v>
      </c>
      <c r="AU27" s="222">
        <f t="shared" si="18"/>
        <v>69.465958371467437</v>
      </c>
      <c r="AV27" s="222">
        <f t="shared" si="19"/>
        <v>45.711079890753552</v>
      </c>
      <c r="AW27" s="222">
        <f t="shared" si="20"/>
        <v>47.5</v>
      </c>
      <c r="AX27" s="222">
        <f t="shared" si="21"/>
        <v>6</v>
      </c>
      <c r="AY27" s="222">
        <f t="shared" si="22"/>
        <v>15.18</v>
      </c>
      <c r="AZ27" s="222">
        <f>IF(AND(SUM($AQ$16:AQ26)&gt;0,SUM($AZ$16:AZ26)&lt;$P$62,$W27&gt;=$P$65),$P$64,0)</f>
        <v>18.586956521739129</v>
      </c>
      <c r="BA27" s="222">
        <f>IF(SUM($AQ$17:$AQ26)&gt;0,($P$62-SUM($AZ$17:$AZ26))*$F$65,0)</f>
        <v>4.7675543478260876</v>
      </c>
      <c r="BB27" s="223">
        <f t="shared" si="23"/>
        <v>183.85703826222101</v>
      </c>
      <c r="BC27" s="220">
        <f t="shared" si="24"/>
        <v>-183.85703826222101</v>
      </c>
      <c r="BD27" s="221">
        <f t="shared" si="25"/>
        <v>-126.38643484422954</v>
      </c>
      <c r="BE27" s="48"/>
      <c r="BF27" s="46">
        <f t="shared" si="43"/>
        <v>0.68741689760048452</v>
      </c>
      <c r="BH27" s="219">
        <f t="shared" si="26"/>
        <v>0</v>
      </c>
      <c r="BI27" s="219">
        <f t="shared" si="27"/>
        <v>69.465958371467437</v>
      </c>
      <c r="BJ27" s="220">
        <f t="shared" si="28"/>
        <v>45.711079890753552</v>
      </c>
      <c r="BK27" s="220">
        <f t="shared" si="29"/>
        <v>47.5</v>
      </c>
      <c r="BL27" s="220">
        <f t="shared" si="30"/>
        <v>15.18</v>
      </c>
      <c r="BM27" s="220">
        <f t="shared" si="31"/>
        <v>0</v>
      </c>
      <c r="BN27" s="221">
        <f t="shared" si="32"/>
        <v>177.85703826222101</v>
      </c>
      <c r="BO27" s="220">
        <f t="shared" si="33"/>
        <v>0</v>
      </c>
      <c r="BP27" s="220">
        <f t="shared" si="34"/>
        <v>47.5</v>
      </c>
      <c r="BQ27" s="220">
        <f t="shared" si="35"/>
        <v>33.256377181372237</v>
      </c>
      <c r="BR27" s="220">
        <f t="shared" si="36"/>
        <v>15</v>
      </c>
      <c r="BS27" s="220">
        <f t="shared" si="37"/>
        <v>0</v>
      </c>
      <c r="BT27" s="220">
        <f t="shared" si="38"/>
        <v>0.18</v>
      </c>
      <c r="BU27" s="221">
        <f t="shared" si="39"/>
        <v>62.68</v>
      </c>
      <c r="BV27" s="221">
        <f t="shared" si="40"/>
        <v>115.177038262221</v>
      </c>
      <c r="BW27" s="163"/>
      <c r="BX27" s="155">
        <f t="shared" si="41"/>
        <v>71.942005540610353</v>
      </c>
      <c r="BY27" s="273">
        <f t="shared" si="44"/>
        <v>0</v>
      </c>
      <c r="CA27"/>
    </row>
    <row r="28" spans="1:79" ht="15.75" customHeight="1">
      <c r="B28" t="s">
        <v>103</v>
      </c>
      <c r="D28" t="s">
        <v>7</v>
      </c>
      <c r="F28" s="276">
        <f>SUM(F29:F30)</f>
        <v>3000</v>
      </c>
      <c r="J28" s="4" t="s">
        <v>104</v>
      </c>
      <c r="O28" t="s">
        <v>2</v>
      </c>
      <c r="P28" t="s">
        <v>50</v>
      </c>
      <c r="V28" s="57">
        <f t="shared" si="42"/>
        <v>49765</v>
      </c>
      <c r="W28" s="7">
        <v>12</v>
      </c>
      <c r="X28" s="269" t="str">
        <f t="shared" si="0"/>
        <v>維持管理・運営期間</v>
      </c>
      <c r="Y28" s="231">
        <f t="shared" si="1"/>
        <v>0</v>
      </c>
      <c r="Z28" s="222">
        <f t="shared" si="2"/>
        <v>0</v>
      </c>
      <c r="AA28" s="222">
        <f t="shared" si="3"/>
        <v>0</v>
      </c>
      <c r="AB28" s="222">
        <f t="shared" si="4"/>
        <v>0</v>
      </c>
      <c r="AC28" s="223">
        <f t="shared" si="5"/>
        <v>0</v>
      </c>
      <c r="AD28" s="231">
        <f t="shared" si="6"/>
        <v>0</v>
      </c>
      <c r="AE28" s="222">
        <f t="shared" si="7"/>
        <v>50</v>
      </c>
      <c r="AF28" s="222">
        <f t="shared" si="8"/>
        <v>10</v>
      </c>
      <c r="AG28" s="222">
        <f>IF(AND(SUM($AA$16:AA27)&gt;0,SUM($AG$16:AG27)&lt;$O$62,$W28&gt;=$O$65),$O$64,0)</f>
        <v>65.054347826086953</v>
      </c>
      <c r="AH28" s="220">
        <f>IF(SUM($AA$17:$AA27)&gt;0,($O$62-SUM($AG$17:$AG27))*$E$65,0)</f>
        <v>15.80820652173913</v>
      </c>
      <c r="AI28" s="223">
        <f t="shared" si="9"/>
        <v>60</v>
      </c>
      <c r="AJ28" s="220">
        <f t="shared" si="10"/>
        <v>-60</v>
      </c>
      <c r="AK28" s="243">
        <f>(SUM($P$31,$P$51)-SUM($AU$17:AU27))*$O$109</f>
        <v>17.503760168915484</v>
      </c>
      <c r="AL28" s="245"/>
      <c r="AM28" s="221">
        <f t="shared" si="11"/>
        <v>-39.863303901246297</v>
      </c>
      <c r="AN28" s="161"/>
      <c r="AO28" s="219">
        <f t="shared" si="12"/>
        <v>0</v>
      </c>
      <c r="AP28" s="220">
        <f t="shared" si="13"/>
        <v>0</v>
      </c>
      <c r="AQ28" s="220">
        <f t="shared" si="14"/>
        <v>0</v>
      </c>
      <c r="AR28" s="222">
        <f t="shared" si="15"/>
        <v>0</v>
      </c>
      <c r="AS28" s="223">
        <f t="shared" si="16"/>
        <v>0</v>
      </c>
      <c r="AT28" s="222">
        <f t="shared" si="17"/>
        <v>0</v>
      </c>
      <c r="AU28" s="222">
        <f t="shared" si="18"/>
        <v>72.221061649390037</v>
      </c>
      <c r="AV28" s="222">
        <f t="shared" si="19"/>
        <v>42.955976612830938</v>
      </c>
      <c r="AW28" s="222">
        <f t="shared" si="20"/>
        <v>47.5</v>
      </c>
      <c r="AX28" s="222">
        <f t="shared" si="21"/>
        <v>6</v>
      </c>
      <c r="AY28" s="222">
        <f t="shared" si="22"/>
        <v>15.18</v>
      </c>
      <c r="AZ28" s="222">
        <f>IF(AND(SUM($AQ$16:AQ27)&gt;0,SUM($AZ$16:AZ27)&lt;$P$62,$W28&gt;=$P$65),$P$64,0)</f>
        <v>18.586956521739129</v>
      </c>
      <c r="BA28" s="222">
        <f>IF(SUM($AQ$17:$AQ27)&gt;0,($P$62-SUM($AZ$17:$AZ27))*$F$65,0)</f>
        <v>4.5166304347826092</v>
      </c>
      <c r="BB28" s="223">
        <f t="shared" si="23"/>
        <v>183.85703826222098</v>
      </c>
      <c r="BC28" s="220">
        <f t="shared" si="24"/>
        <v>-183.85703826222098</v>
      </c>
      <c r="BD28" s="221">
        <f t="shared" si="25"/>
        <v>-122.15248317716637</v>
      </c>
      <c r="BE28" s="48"/>
      <c r="BF28" s="46">
        <f t="shared" si="43"/>
        <v>0.6643883983541049</v>
      </c>
      <c r="BH28" s="219">
        <f t="shared" si="26"/>
        <v>0</v>
      </c>
      <c r="BI28" s="219">
        <f t="shared" si="27"/>
        <v>72.221061649390037</v>
      </c>
      <c r="BJ28" s="220">
        <f t="shared" si="28"/>
        <v>42.955976612830938</v>
      </c>
      <c r="BK28" s="220">
        <f t="shared" si="29"/>
        <v>47.5</v>
      </c>
      <c r="BL28" s="220">
        <f t="shared" si="30"/>
        <v>15.18</v>
      </c>
      <c r="BM28" s="220">
        <f t="shared" si="31"/>
        <v>0</v>
      </c>
      <c r="BN28" s="221">
        <f t="shared" si="32"/>
        <v>177.85703826222098</v>
      </c>
      <c r="BO28" s="220">
        <f t="shared" si="33"/>
        <v>0</v>
      </c>
      <c r="BP28" s="220">
        <f t="shared" si="34"/>
        <v>47.5</v>
      </c>
      <c r="BQ28" s="220">
        <f t="shared" si="35"/>
        <v>31.122490956523038</v>
      </c>
      <c r="BR28" s="220">
        <f t="shared" si="36"/>
        <v>15</v>
      </c>
      <c r="BS28" s="220">
        <f t="shared" si="37"/>
        <v>0</v>
      </c>
      <c r="BT28" s="220">
        <f t="shared" si="38"/>
        <v>0.18</v>
      </c>
      <c r="BU28" s="221">
        <f t="shared" si="39"/>
        <v>62.68</v>
      </c>
      <c r="BV28" s="221">
        <f t="shared" si="40"/>
        <v>115.17703826222098</v>
      </c>
      <c r="BW28" s="163"/>
      <c r="BX28" s="155">
        <f t="shared" si="41"/>
        <v>74.075891765459559</v>
      </c>
      <c r="BY28" s="273">
        <f t="shared" si="44"/>
        <v>0</v>
      </c>
      <c r="CA28"/>
    </row>
    <row r="29" spans="1:79" ht="15.75" customHeight="1">
      <c r="C29" s="2" t="s">
        <v>105</v>
      </c>
      <c r="D29" t="s">
        <v>7</v>
      </c>
      <c r="F29" s="195">
        <f>事業費用概算!G6</f>
        <v>0</v>
      </c>
      <c r="K29" t="s">
        <v>83</v>
      </c>
      <c r="N29" s="19" t="s">
        <v>7</v>
      </c>
      <c r="O29" s="51">
        <f>F30*$F$50+F29</f>
        <v>2850</v>
      </c>
      <c r="P29" s="51">
        <f>F28*(1-F51)</f>
        <v>2850</v>
      </c>
      <c r="Q29" t="s">
        <v>106</v>
      </c>
      <c r="V29" s="57">
        <f t="shared" si="42"/>
        <v>50130</v>
      </c>
      <c r="W29" s="7">
        <v>13</v>
      </c>
      <c r="X29" s="269" t="str">
        <f t="shared" si="0"/>
        <v>維持管理・運営期間</v>
      </c>
      <c r="Y29" s="231">
        <f t="shared" si="1"/>
        <v>0</v>
      </c>
      <c r="Z29" s="222">
        <f t="shared" si="2"/>
        <v>0</v>
      </c>
      <c r="AA29" s="222">
        <f t="shared" si="3"/>
        <v>0</v>
      </c>
      <c r="AB29" s="222">
        <f t="shared" si="4"/>
        <v>0</v>
      </c>
      <c r="AC29" s="223">
        <f t="shared" si="5"/>
        <v>0</v>
      </c>
      <c r="AD29" s="231">
        <f t="shared" si="6"/>
        <v>0</v>
      </c>
      <c r="AE29" s="222">
        <f t="shared" si="7"/>
        <v>50</v>
      </c>
      <c r="AF29" s="222">
        <f t="shared" si="8"/>
        <v>10</v>
      </c>
      <c r="AG29" s="222">
        <f>IF(AND(SUM($AA$16:AA28)&gt;0,SUM($AG$16:AG28)&lt;$O$62,$W29&gt;=$O$65),$O$64,0)</f>
        <v>65.054347826086953</v>
      </c>
      <c r="AH29" s="220">
        <f>IF(SUM($AA$17:$AA28)&gt;0,($O$62-SUM($AG$17:$AG28))*$E$65,0)</f>
        <v>14.929972826086956</v>
      </c>
      <c r="AI29" s="223">
        <f t="shared" si="9"/>
        <v>60</v>
      </c>
      <c r="AJ29" s="220">
        <f t="shared" si="10"/>
        <v>-60</v>
      </c>
      <c r="AK29" s="243">
        <f>(SUM($P$31,$P$51)-SUM($AU$17:AU28))*$O$109</f>
        <v>16.336581137240103</v>
      </c>
      <c r="AL29" s="245"/>
      <c r="AM29" s="221">
        <f t="shared" si="11"/>
        <v>-38.527881296634128</v>
      </c>
      <c r="AN29" s="161"/>
      <c r="AO29" s="219">
        <f t="shared" si="12"/>
        <v>0</v>
      </c>
      <c r="AP29" s="220">
        <f t="shared" si="13"/>
        <v>0</v>
      </c>
      <c r="AQ29" s="220">
        <f t="shared" si="14"/>
        <v>0</v>
      </c>
      <c r="AR29" s="222">
        <f t="shared" si="15"/>
        <v>0</v>
      </c>
      <c r="AS29" s="223">
        <f t="shared" si="16"/>
        <v>0</v>
      </c>
      <c r="AT29" s="222">
        <f t="shared" si="17"/>
        <v>0</v>
      </c>
      <c r="AU29" s="222">
        <f t="shared" si="18"/>
        <v>75.085435629826108</v>
      </c>
      <c r="AV29" s="222">
        <f t="shared" si="19"/>
        <v>40.09160263239491</v>
      </c>
      <c r="AW29" s="222">
        <f t="shared" si="20"/>
        <v>47.5</v>
      </c>
      <c r="AX29" s="222">
        <f t="shared" si="21"/>
        <v>6</v>
      </c>
      <c r="AY29" s="222">
        <f t="shared" si="22"/>
        <v>15.18</v>
      </c>
      <c r="AZ29" s="222">
        <f>IF(AND(SUM($AQ$16:AQ28)&gt;0,SUM($AZ$16:AZ28)&lt;$P$62,$W29&gt;=$P$65),$P$64,0)</f>
        <v>18.586956521739129</v>
      </c>
      <c r="BA29" s="222">
        <f>IF(SUM($AQ$17:$AQ28)&gt;0,($P$62-SUM($AZ$17:$AZ28))*$F$65,0)</f>
        <v>4.2657065217391308</v>
      </c>
      <c r="BB29" s="223">
        <f t="shared" si="23"/>
        <v>183.85703826222101</v>
      </c>
      <c r="BC29" s="220">
        <f t="shared" si="24"/>
        <v>-183.85703826222101</v>
      </c>
      <c r="BD29" s="221">
        <f t="shared" si="25"/>
        <v>-118.06036909529284</v>
      </c>
      <c r="BE29" s="48"/>
      <c r="BF29" s="46">
        <f t="shared" si="43"/>
        <v>0.64213135494390217</v>
      </c>
      <c r="BH29" s="219">
        <f t="shared" si="26"/>
        <v>0</v>
      </c>
      <c r="BI29" s="219">
        <f t="shared" si="27"/>
        <v>75.085435629826108</v>
      </c>
      <c r="BJ29" s="220">
        <f t="shared" si="28"/>
        <v>40.09160263239491</v>
      </c>
      <c r="BK29" s="220">
        <f t="shared" si="29"/>
        <v>47.5</v>
      </c>
      <c r="BL29" s="220">
        <f t="shared" si="30"/>
        <v>15.18</v>
      </c>
      <c r="BM29" s="220">
        <f t="shared" si="31"/>
        <v>0</v>
      </c>
      <c r="BN29" s="221">
        <f t="shared" si="32"/>
        <v>177.85703826222101</v>
      </c>
      <c r="BO29" s="220">
        <f t="shared" si="33"/>
        <v>0</v>
      </c>
      <c r="BP29" s="220">
        <f t="shared" si="34"/>
        <v>47.5</v>
      </c>
      <c r="BQ29" s="220">
        <f t="shared" si="35"/>
        <v>28.925311105281516</v>
      </c>
      <c r="BR29" s="220">
        <f t="shared" si="36"/>
        <v>15</v>
      </c>
      <c r="BS29" s="220">
        <f t="shared" si="37"/>
        <v>0</v>
      </c>
      <c r="BT29" s="220">
        <f t="shared" si="38"/>
        <v>0.18</v>
      </c>
      <c r="BU29" s="221">
        <f t="shared" si="39"/>
        <v>62.68</v>
      </c>
      <c r="BV29" s="221">
        <f t="shared" si="40"/>
        <v>115.177038262221</v>
      </c>
      <c r="BW29" s="163"/>
      <c r="BX29" s="155">
        <f t="shared" si="41"/>
        <v>76.27307161670106</v>
      </c>
      <c r="BY29" s="273">
        <f t="shared" si="44"/>
        <v>0</v>
      </c>
      <c r="CA29"/>
    </row>
    <row r="30" spans="1:79" ht="15.75" customHeight="1">
      <c r="C30" s="2" t="s">
        <v>107</v>
      </c>
      <c r="D30" t="s">
        <v>7</v>
      </c>
      <c r="F30" s="195">
        <f>事業費用概算!G7</f>
        <v>3000</v>
      </c>
      <c r="M30" s="55" t="s">
        <v>108</v>
      </c>
      <c r="N30" s="19" t="s">
        <v>7</v>
      </c>
      <c r="O30" s="50">
        <f>O29*E32</f>
        <v>2850</v>
      </c>
      <c r="P30" s="50">
        <f>$P$29*F32</f>
        <v>1425</v>
      </c>
      <c r="V30" s="57">
        <f t="shared" si="42"/>
        <v>50495</v>
      </c>
      <c r="W30" s="7">
        <v>14</v>
      </c>
      <c r="X30" s="269" t="str">
        <f t="shared" si="0"/>
        <v>維持管理・運営期間</v>
      </c>
      <c r="Y30" s="231">
        <f t="shared" si="1"/>
        <v>0</v>
      </c>
      <c r="Z30" s="222">
        <f t="shared" si="2"/>
        <v>0</v>
      </c>
      <c r="AA30" s="222">
        <f t="shared" si="3"/>
        <v>0</v>
      </c>
      <c r="AB30" s="222">
        <f t="shared" si="4"/>
        <v>0</v>
      </c>
      <c r="AC30" s="223">
        <f t="shared" si="5"/>
        <v>0</v>
      </c>
      <c r="AD30" s="231">
        <f t="shared" si="6"/>
        <v>0</v>
      </c>
      <c r="AE30" s="222">
        <f t="shared" si="7"/>
        <v>50</v>
      </c>
      <c r="AF30" s="222">
        <f t="shared" si="8"/>
        <v>10</v>
      </c>
      <c r="AG30" s="222">
        <f>IF(AND(SUM($AA$16:AA29)&gt;0,SUM($AG$16:AG29)&lt;$O$62,$W30&gt;=$O$65),$O$64,0)</f>
        <v>65.054347826086953</v>
      </c>
      <c r="AH30" s="220">
        <f>IF(SUM($AA$17:$AA29)&gt;0,($O$62-SUM($AG$17:$AG29))*$E$65,0)</f>
        <v>14.051739130434784</v>
      </c>
      <c r="AI30" s="223">
        <f t="shared" si="9"/>
        <v>60</v>
      </c>
      <c r="AJ30" s="220">
        <f t="shared" si="10"/>
        <v>-60</v>
      </c>
      <c r="AK30" s="243">
        <f>(SUM($P$31,$P$51)-SUM($AU$17:AU29))*$O$109</f>
        <v>15.123110384389642</v>
      </c>
      <c r="AL30" s="245"/>
      <c r="AM30" s="221">
        <f t="shared" si="11"/>
        <v>-37.237195413727903</v>
      </c>
      <c r="AN30" s="161"/>
      <c r="AO30" s="219">
        <f t="shared" si="12"/>
        <v>0</v>
      </c>
      <c r="AP30" s="220">
        <f t="shared" si="13"/>
        <v>0</v>
      </c>
      <c r="AQ30" s="220">
        <f t="shared" si="14"/>
        <v>0</v>
      </c>
      <c r="AR30" s="222">
        <f t="shared" si="15"/>
        <v>0</v>
      </c>
      <c r="AS30" s="223">
        <f t="shared" si="16"/>
        <v>0</v>
      </c>
      <c r="AT30" s="222">
        <f t="shared" si="17"/>
        <v>0</v>
      </c>
      <c r="AU30" s="222">
        <f t="shared" si="18"/>
        <v>78.063414119977466</v>
      </c>
      <c r="AV30" s="222">
        <f t="shared" si="19"/>
        <v>37.113624142243523</v>
      </c>
      <c r="AW30" s="222">
        <f t="shared" si="20"/>
        <v>47.5</v>
      </c>
      <c r="AX30" s="222">
        <f t="shared" si="21"/>
        <v>6</v>
      </c>
      <c r="AY30" s="222">
        <f t="shared" si="22"/>
        <v>15.18</v>
      </c>
      <c r="AZ30" s="222">
        <f>IF(AND(SUM($AQ$16:AQ29)&gt;0,SUM($AZ$16:AZ29)&lt;$P$62,$W30&gt;=$P$65),$P$64,0)</f>
        <v>18.586956521739129</v>
      </c>
      <c r="BA30" s="222">
        <f>IF(SUM($AQ$17:$AQ29)&gt;0,($P$62-SUM($AZ$17:$AZ29))*$F$65,0)</f>
        <v>4.0147826086956524</v>
      </c>
      <c r="BB30" s="223">
        <f t="shared" si="23"/>
        <v>183.85703826222101</v>
      </c>
      <c r="BC30" s="220">
        <f t="shared" si="24"/>
        <v>-183.85703826222101</v>
      </c>
      <c r="BD30" s="221">
        <f t="shared" si="25"/>
        <v>-114.10534103265952</v>
      </c>
      <c r="BE30" s="48"/>
      <c r="BF30" s="46">
        <f t="shared" si="43"/>
        <v>0.62061992356213169</v>
      </c>
      <c r="BH30" s="219">
        <f t="shared" si="26"/>
        <v>0</v>
      </c>
      <c r="BI30" s="219">
        <f t="shared" si="27"/>
        <v>78.063414119977466</v>
      </c>
      <c r="BJ30" s="220">
        <f t="shared" si="28"/>
        <v>37.113624142243523</v>
      </c>
      <c r="BK30" s="220">
        <f t="shared" si="29"/>
        <v>47.5</v>
      </c>
      <c r="BL30" s="220">
        <f t="shared" si="30"/>
        <v>15.18</v>
      </c>
      <c r="BM30" s="220">
        <f t="shared" si="31"/>
        <v>0</v>
      </c>
      <c r="BN30" s="221">
        <f t="shared" si="32"/>
        <v>177.85703826222101</v>
      </c>
      <c r="BO30" s="220">
        <f t="shared" si="33"/>
        <v>0</v>
      </c>
      <c r="BP30" s="220">
        <f t="shared" si="34"/>
        <v>47.5</v>
      </c>
      <c r="BQ30" s="220">
        <f t="shared" si="35"/>
        <v>26.662960262727648</v>
      </c>
      <c r="BR30" s="220">
        <f t="shared" si="36"/>
        <v>15</v>
      </c>
      <c r="BS30" s="220">
        <f t="shared" si="37"/>
        <v>0</v>
      </c>
      <c r="BT30" s="220">
        <f t="shared" si="38"/>
        <v>0.18</v>
      </c>
      <c r="BU30" s="221">
        <f t="shared" si="39"/>
        <v>62.68</v>
      </c>
      <c r="BV30" s="221">
        <f t="shared" si="40"/>
        <v>115.177038262221</v>
      </c>
      <c r="BW30" s="163"/>
      <c r="BX30" s="155">
        <f t="shared" si="41"/>
        <v>78.535422459254946</v>
      </c>
      <c r="BY30" s="273">
        <f t="shared" si="44"/>
        <v>0</v>
      </c>
      <c r="CA30"/>
    </row>
    <row r="31" spans="1:79" ht="15.75" customHeight="1">
      <c r="C31" t="s">
        <v>109</v>
      </c>
      <c r="E31" s="19" t="s">
        <v>2</v>
      </c>
      <c r="F31" s="19" t="s">
        <v>50</v>
      </c>
      <c r="M31" s="55" t="s">
        <v>110</v>
      </c>
      <c r="N31" s="19" t="s">
        <v>7</v>
      </c>
      <c r="O31" s="50">
        <f>O30*E33</f>
        <v>0</v>
      </c>
      <c r="P31" s="50">
        <f>$P$29*F33</f>
        <v>1425</v>
      </c>
      <c r="V31" s="57">
        <f t="shared" si="42"/>
        <v>50860</v>
      </c>
      <c r="W31" s="7">
        <v>15</v>
      </c>
      <c r="X31" s="269" t="str">
        <f t="shared" si="0"/>
        <v>維持管理・運営期間</v>
      </c>
      <c r="Y31" s="231">
        <f t="shared" si="1"/>
        <v>0</v>
      </c>
      <c r="Z31" s="222">
        <f t="shared" si="2"/>
        <v>0</v>
      </c>
      <c r="AA31" s="222">
        <f t="shared" si="3"/>
        <v>0</v>
      </c>
      <c r="AB31" s="222">
        <f t="shared" si="4"/>
        <v>0</v>
      </c>
      <c r="AC31" s="223">
        <f t="shared" si="5"/>
        <v>0</v>
      </c>
      <c r="AD31" s="231">
        <f t="shared" si="6"/>
        <v>0</v>
      </c>
      <c r="AE31" s="222">
        <f t="shared" si="7"/>
        <v>50</v>
      </c>
      <c r="AF31" s="222">
        <f t="shared" si="8"/>
        <v>10</v>
      </c>
      <c r="AG31" s="222">
        <f>IF(AND(SUM($AA$16:AA30)&gt;0,SUM($AG$16:AG30)&lt;$O$62,$W31&gt;=$O$65),$O$64,0)</f>
        <v>65.054347826086953</v>
      </c>
      <c r="AH31" s="220">
        <f>IF(SUM($AA$17:$AA30)&gt;0,($O$62-SUM($AG$17:$AG30))*$E$65,0)</f>
        <v>13.173505434782609</v>
      </c>
      <c r="AI31" s="223">
        <f t="shared" si="9"/>
        <v>60</v>
      </c>
      <c r="AJ31" s="220">
        <f t="shared" si="10"/>
        <v>-60</v>
      </c>
      <c r="AK31" s="243">
        <f>(SUM($P$31,$P$51)-SUM($AU$17:AU30))*$O$109</f>
        <v>13.861511925145736</v>
      </c>
      <c r="AL31" s="245"/>
      <c r="AM31" s="221">
        <f t="shared" si="11"/>
        <v>-35.989747570191334</v>
      </c>
      <c r="AN31" s="161"/>
      <c r="AO31" s="219">
        <f t="shared" si="12"/>
        <v>0</v>
      </c>
      <c r="AP31" s="220">
        <f t="shared" si="13"/>
        <v>0</v>
      </c>
      <c r="AQ31" s="220">
        <f t="shared" si="14"/>
        <v>0</v>
      </c>
      <c r="AR31" s="222">
        <f t="shared" si="15"/>
        <v>0</v>
      </c>
      <c r="AS31" s="223">
        <f t="shared" si="16"/>
        <v>0</v>
      </c>
      <c r="AT31" s="222">
        <f t="shared" si="17"/>
        <v>0</v>
      </c>
      <c r="AU31" s="222">
        <f t="shared" si="18"/>
        <v>81.159502811040838</v>
      </c>
      <c r="AV31" s="222">
        <f t="shared" si="19"/>
        <v>34.017535451180152</v>
      </c>
      <c r="AW31" s="222">
        <f t="shared" si="20"/>
        <v>47.5</v>
      </c>
      <c r="AX31" s="222">
        <f t="shared" si="21"/>
        <v>6</v>
      </c>
      <c r="AY31" s="222">
        <f t="shared" si="22"/>
        <v>15.18</v>
      </c>
      <c r="AZ31" s="222">
        <f>IF(AND(SUM($AQ$16:AQ30)&gt;0,SUM($AZ$16:AZ30)&lt;$P$62,$W31&gt;=$P$65),$P$64,0)</f>
        <v>18.586956521739129</v>
      </c>
      <c r="BA31" s="222">
        <f>IF(SUM($AQ$17:$AQ30)&gt;0,($P$62-SUM($AZ$17:$AZ30))*$F$65,0)</f>
        <v>3.7638586956521745</v>
      </c>
      <c r="BB31" s="223">
        <f t="shared" si="23"/>
        <v>183.85703826222101</v>
      </c>
      <c r="BC31" s="220">
        <f t="shared" si="24"/>
        <v>-183.85703826222101</v>
      </c>
      <c r="BD31" s="221">
        <f t="shared" si="25"/>
        <v>-110.28280660100572</v>
      </c>
      <c r="BE31" s="48"/>
      <c r="BF31" s="46">
        <f t="shared" si="43"/>
        <v>0.59982912616985551</v>
      </c>
      <c r="BH31" s="219">
        <f t="shared" si="26"/>
        <v>0</v>
      </c>
      <c r="BI31" s="219">
        <f t="shared" si="27"/>
        <v>81.159502811040838</v>
      </c>
      <c r="BJ31" s="220">
        <f t="shared" si="28"/>
        <v>34.017535451180152</v>
      </c>
      <c r="BK31" s="220">
        <f t="shared" si="29"/>
        <v>47.5</v>
      </c>
      <c r="BL31" s="220">
        <f t="shared" si="30"/>
        <v>15.18</v>
      </c>
      <c r="BM31" s="220">
        <f t="shared" si="31"/>
        <v>0</v>
      </c>
      <c r="BN31" s="221">
        <f t="shared" si="32"/>
        <v>177.85703826222101</v>
      </c>
      <c r="BO31" s="220">
        <f t="shared" si="33"/>
        <v>0</v>
      </c>
      <c r="BP31" s="220">
        <f t="shared" si="34"/>
        <v>47.5</v>
      </c>
      <c r="BQ31" s="220">
        <f t="shared" si="35"/>
        <v>24.333505379044745</v>
      </c>
      <c r="BR31" s="220">
        <f t="shared" si="36"/>
        <v>15</v>
      </c>
      <c r="BS31" s="220">
        <f t="shared" si="37"/>
        <v>0</v>
      </c>
      <c r="BT31" s="220">
        <f t="shared" si="38"/>
        <v>0.18</v>
      </c>
      <c r="BU31" s="221">
        <f t="shared" si="39"/>
        <v>62.68</v>
      </c>
      <c r="BV31" s="221">
        <f t="shared" si="40"/>
        <v>115.177038262221</v>
      </c>
      <c r="BW31" s="163"/>
      <c r="BX31" s="155">
        <f t="shared" si="41"/>
        <v>80.864877342937845</v>
      </c>
      <c r="BY31" s="273">
        <f t="shared" si="44"/>
        <v>0</v>
      </c>
      <c r="CA31"/>
    </row>
    <row r="32" spans="1:79" ht="15.75" customHeight="1">
      <c r="C32" s="2" t="s">
        <v>108</v>
      </c>
      <c r="D32" t="s">
        <v>38</v>
      </c>
      <c r="E32" s="258">
        <v>1</v>
      </c>
      <c r="F32" s="3">
        <v>0.5</v>
      </c>
      <c r="M32" s="55" t="s">
        <v>112</v>
      </c>
      <c r="N32" s="19" t="s">
        <v>7</v>
      </c>
      <c r="O32" s="50">
        <f>SUM(O30:O31)</f>
        <v>2850</v>
      </c>
      <c r="P32" s="50">
        <f>SUM(P30:P31)</f>
        <v>2850</v>
      </c>
      <c r="V32" s="57">
        <f t="shared" si="42"/>
        <v>51226</v>
      </c>
      <c r="W32" s="7">
        <v>16</v>
      </c>
      <c r="X32" s="269" t="str">
        <f t="shared" si="0"/>
        <v>維持管理・運営期間</v>
      </c>
      <c r="Y32" s="231">
        <f t="shared" si="1"/>
        <v>0</v>
      </c>
      <c r="Z32" s="222">
        <f t="shared" si="2"/>
        <v>0</v>
      </c>
      <c r="AA32" s="222">
        <f t="shared" si="3"/>
        <v>0</v>
      </c>
      <c r="AB32" s="222">
        <f t="shared" si="4"/>
        <v>0</v>
      </c>
      <c r="AC32" s="223">
        <f t="shared" si="5"/>
        <v>0</v>
      </c>
      <c r="AD32" s="231">
        <f t="shared" si="6"/>
        <v>0</v>
      </c>
      <c r="AE32" s="222">
        <f t="shared" si="7"/>
        <v>50</v>
      </c>
      <c r="AF32" s="222">
        <f t="shared" si="8"/>
        <v>10</v>
      </c>
      <c r="AG32" s="222">
        <f>IF(AND(SUM($AA$16:AA31)&gt;0,SUM($AG$16:AG31)&lt;$O$62,$W32&gt;=$O$65),$O$64,0)</f>
        <v>65.054347826086953</v>
      </c>
      <c r="AH32" s="220">
        <f>IF(SUM($AA$17:$AA31)&gt;0,($O$62-SUM($AG$17:$AG31))*$E$65,0)</f>
        <v>12.295271739130435</v>
      </c>
      <c r="AI32" s="223">
        <f t="shared" si="9"/>
        <v>60</v>
      </c>
      <c r="AJ32" s="220">
        <f t="shared" si="10"/>
        <v>-60</v>
      </c>
      <c r="AK32" s="243">
        <f>(SUM($P$31,$P$51)-SUM($AU$17:AU31))*$O$109</f>
        <v>12.549876956912808</v>
      </c>
      <c r="AL32" s="245"/>
      <c r="AM32" s="221">
        <f t="shared" si="11"/>
        <v>-34.784089289618741</v>
      </c>
      <c r="AN32" s="161"/>
      <c r="AO32" s="219">
        <f t="shared" si="12"/>
        <v>0</v>
      </c>
      <c r="AP32" s="220">
        <f t="shared" si="13"/>
        <v>0</v>
      </c>
      <c r="AQ32" s="220">
        <f t="shared" si="14"/>
        <v>0</v>
      </c>
      <c r="AR32" s="222">
        <f t="shared" si="15"/>
        <v>0</v>
      </c>
      <c r="AS32" s="223">
        <f t="shared" si="16"/>
        <v>0</v>
      </c>
      <c r="AT32" s="222">
        <f t="shared" si="17"/>
        <v>0</v>
      </c>
      <c r="AU32" s="222">
        <f t="shared" si="18"/>
        <v>84.378386095333227</v>
      </c>
      <c r="AV32" s="222">
        <f t="shared" si="19"/>
        <v>30.798652166887759</v>
      </c>
      <c r="AW32" s="222">
        <f t="shared" si="20"/>
        <v>47.5</v>
      </c>
      <c r="AX32" s="222">
        <f t="shared" si="21"/>
        <v>6</v>
      </c>
      <c r="AY32" s="222">
        <f t="shared" si="22"/>
        <v>15.18</v>
      </c>
      <c r="AZ32" s="222">
        <f>IF(AND(SUM($AQ$16:AQ31)&gt;0,SUM($AZ$16:AZ31)&lt;$P$62,$W32&gt;=$P$65),$P$64,0)</f>
        <v>18.586956521739129</v>
      </c>
      <c r="BA32" s="222">
        <f>IF(SUM($AQ$17:$AQ31)&gt;0,($P$62-SUM($AZ$17:$AZ31))*$F$65,0)</f>
        <v>3.5129347826086961</v>
      </c>
      <c r="BB32" s="223">
        <f t="shared" si="23"/>
        <v>183.85703826222101</v>
      </c>
      <c r="BC32" s="220">
        <f t="shared" si="24"/>
        <v>-183.85703826222101</v>
      </c>
      <c r="BD32" s="221">
        <f t="shared" si="25"/>
        <v>-106.58832725729907</v>
      </c>
      <c r="BE32" s="48"/>
      <c r="BF32" s="46">
        <f t="shared" si="43"/>
        <v>0.57973482149364564</v>
      </c>
      <c r="BH32" s="219">
        <f t="shared" si="26"/>
        <v>0</v>
      </c>
      <c r="BI32" s="219">
        <f t="shared" si="27"/>
        <v>84.378386095333227</v>
      </c>
      <c r="BJ32" s="220">
        <f t="shared" si="28"/>
        <v>30.798652166887759</v>
      </c>
      <c r="BK32" s="220">
        <f t="shared" si="29"/>
        <v>47.5</v>
      </c>
      <c r="BL32" s="220">
        <f t="shared" si="30"/>
        <v>15.18</v>
      </c>
      <c r="BM32" s="220">
        <f t="shared" si="31"/>
        <v>0</v>
      </c>
      <c r="BN32" s="221">
        <f t="shared" si="32"/>
        <v>177.85703826222101</v>
      </c>
      <c r="BO32" s="220">
        <f t="shared" si="33"/>
        <v>0</v>
      </c>
      <c r="BP32" s="220">
        <f t="shared" si="34"/>
        <v>47.5</v>
      </c>
      <c r="BQ32" s="220">
        <f t="shared" si="35"/>
        <v>21.934956067838659</v>
      </c>
      <c r="BR32" s="220">
        <f t="shared" si="36"/>
        <v>15</v>
      </c>
      <c r="BS32" s="220">
        <f t="shared" si="37"/>
        <v>0</v>
      </c>
      <c r="BT32" s="220">
        <f t="shared" si="38"/>
        <v>0.18</v>
      </c>
      <c r="BU32" s="221">
        <f t="shared" si="39"/>
        <v>62.68</v>
      </c>
      <c r="BV32" s="221">
        <f t="shared" si="40"/>
        <v>115.177038262221</v>
      </c>
      <c r="BW32" s="163"/>
      <c r="BX32" s="155">
        <f t="shared" si="41"/>
        <v>83.263426654143927</v>
      </c>
      <c r="BY32" s="273">
        <f t="shared" si="44"/>
        <v>0</v>
      </c>
      <c r="CA32"/>
    </row>
    <row r="33" spans="2:79" ht="15.75" customHeight="1">
      <c r="C33" s="2" t="s">
        <v>110</v>
      </c>
      <c r="D33" t="s">
        <v>38</v>
      </c>
      <c r="E33" s="136"/>
      <c r="F33" s="3">
        <v>0.5</v>
      </c>
      <c r="V33" s="57">
        <f t="shared" si="42"/>
        <v>51591</v>
      </c>
      <c r="W33" s="7">
        <v>17</v>
      </c>
      <c r="X33" s="269" t="str">
        <f t="shared" si="0"/>
        <v>維持管理・運営期間</v>
      </c>
      <c r="Y33" s="231">
        <f t="shared" si="1"/>
        <v>0</v>
      </c>
      <c r="Z33" s="222">
        <f t="shared" si="2"/>
        <v>0</v>
      </c>
      <c r="AA33" s="222">
        <f t="shared" si="3"/>
        <v>0</v>
      </c>
      <c r="AB33" s="222">
        <f t="shared" si="4"/>
        <v>0</v>
      </c>
      <c r="AC33" s="223">
        <f t="shared" si="5"/>
        <v>0</v>
      </c>
      <c r="AD33" s="231">
        <f t="shared" si="6"/>
        <v>0</v>
      </c>
      <c r="AE33" s="222">
        <f t="shared" si="7"/>
        <v>50</v>
      </c>
      <c r="AF33" s="222">
        <f t="shared" si="8"/>
        <v>10</v>
      </c>
      <c r="AG33" s="222">
        <f>IF(AND(SUM($AA$16:AA32)&gt;0,SUM($AG$16:AG32)&lt;$O$62,$W33&gt;=$O$65),$O$64,0)</f>
        <v>65.054347826086953</v>
      </c>
      <c r="AH33" s="220">
        <f>IF(SUM($AA$17:$AA32)&gt;0,($O$62-SUM($AG$17:$AG32))*$E$65,0)</f>
        <v>11.417038043478261</v>
      </c>
      <c r="AI33" s="223">
        <f t="shared" si="9"/>
        <v>60</v>
      </c>
      <c r="AJ33" s="220">
        <f t="shared" si="10"/>
        <v>-60</v>
      </c>
      <c r="AK33" s="243">
        <f>(SUM($P$31,$P$51)-SUM($AU$17:AU32))*$O$109</f>
        <v>11.18622097169351</v>
      </c>
      <c r="AL33" s="245"/>
      <c r="AM33" s="221">
        <f t="shared" si="11"/>
        <v>-33.618820619633944</v>
      </c>
      <c r="AN33" s="161"/>
      <c r="AO33" s="219">
        <f t="shared" si="12"/>
        <v>0</v>
      </c>
      <c r="AP33" s="220">
        <f t="shared" si="13"/>
        <v>0</v>
      </c>
      <c r="AQ33" s="220">
        <f t="shared" si="14"/>
        <v>0</v>
      </c>
      <c r="AR33" s="222">
        <f t="shared" si="15"/>
        <v>0</v>
      </c>
      <c r="AS33" s="223">
        <f t="shared" si="16"/>
        <v>0</v>
      </c>
      <c r="AT33" s="222">
        <f t="shared" si="17"/>
        <v>0</v>
      </c>
      <c r="AU33" s="222">
        <f t="shared" si="18"/>
        <v>87.724934153792844</v>
      </c>
      <c r="AV33" s="222">
        <f t="shared" si="19"/>
        <v>27.452104108428131</v>
      </c>
      <c r="AW33" s="222">
        <f t="shared" si="20"/>
        <v>47.5</v>
      </c>
      <c r="AX33" s="222">
        <f t="shared" si="21"/>
        <v>6</v>
      </c>
      <c r="AY33" s="222">
        <f t="shared" si="22"/>
        <v>15.18</v>
      </c>
      <c r="AZ33" s="222">
        <f>IF(AND(SUM($AQ$16:AQ32)&gt;0,SUM($AZ$16:AZ32)&lt;$P$62,$W33&gt;=$P$65),$P$64,0)</f>
        <v>18.586956521739129</v>
      </c>
      <c r="BA33" s="222">
        <f>IF(SUM($AQ$17:$AQ32)&gt;0,($P$62-SUM($AZ$17:$AZ32))*$F$65,0)</f>
        <v>3.2620108695652177</v>
      </c>
      <c r="BB33" s="223">
        <f t="shared" si="23"/>
        <v>183.85703826222098</v>
      </c>
      <c r="BC33" s="220">
        <f t="shared" si="24"/>
        <v>-183.85703826222098</v>
      </c>
      <c r="BD33" s="221">
        <f t="shared" si="25"/>
        <v>-103.01761314991303</v>
      </c>
      <c r="BE33" s="48"/>
      <c r="BF33" s="46">
        <f t="shared" si="43"/>
        <v>0.56031367699389911</v>
      </c>
      <c r="BH33" s="219">
        <f t="shared" si="26"/>
        <v>0</v>
      </c>
      <c r="BI33" s="219">
        <f t="shared" si="27"/>
        <v>87.724934153792844</v>
      </c>
      <c r="BJ33" s="220">
        <f t="shared" si="28"/>
        <v>27.452104108428131</v>
      </c>
      <c r="BK33" s="220">
        <f t="shared" si="29"/>
        <v>47.5</v>
      </c>
      <c r="BL33" s="220">
        <f t="shared" si="30"/>
        <v>15.18</v>
      </c>
      <c r="BM33" s="220">
        <f t="shared" si="31"/>
        <v>0</v>
      </c>
      <c r="BN33" s="221">
        <f t="shared" si="32"/>
        <v>177.85703826222098</v>
      </c>
      <c r="BO33" s="220">
        <f t="shared" si="33"/>
        <v>0</v>
      </c>
      <c r="BP33" s="220">
        <f t="shared" si="34"/>
        <v>47.5</v>
      </c>
      <c r="BQ33" s="220">
        <f t="shared" si="35"/>
        <v>19.46526290546602</v>
      </c>
      <c r="BR33" s="220">
        <f t="shared" si="36"/>
        <v>15</v>
      </c>
      <c r="BS33" s="220">
        <f t="shared" si="37"/>
        <v>0</v>
      </c>
      <c r="BT33" s="220">
        <f t="shared" si="38"/>
        <v>0.18</v>
      </c>
      <c r="BU33" s="221">
        <f t="shared" si="39"/>
        <v>62.68</v>
      </c>
      <c r="BV33" s="221">
        <f t="shared" si="40"/>
        <v>115.17703826222098</v>
      </c>
      <c r="BW33" s="163"/>
      <c r="BX33" s="155">
        <f t="shared" si="41"/>
        <v>85.733119816516563</v>
      </c>
      <c r="BY33" s="273">
        <f t="shared" si="44"/>
        <v>0</v>
      </c>
      <c r="CA33"/>
    </row>
    <row r="34" spans="2:79" ht="15.75" customHeight="1">
      <c r="E34" s="13">
        <f>SUM(E32:E33)</f>
        <v>1</v>
      </c>
      <c r="F34" s="13">
        <f>SUM(F32:F33)</f>
        <v>1</v>
      </c>
      <c r="V34" s="57">
        <f t="shared" si="42"/>
        <v>51956</v>
      </c>
      <c r="W34" s="7">
        <v>18</v>
      </c>
      <c r="X34" s="269" t="str">
        <f t="shared" si="0"/>
        <v>維持管理・運営期間</v>
      </c>
      <c r="Y34" s="231">
        <f t="shared" si="1"/>
        <v>0</v>
      </c>
      <c r="Z34" s="222">
        <f t="shared" si="2"/>
        <v>0</v>
      </c>
      <c r="AA34" s="222">
        <f t="shared" si="3"/>
        <v>0</v>
      </c>
      <c r="AB34" s="222">
        <f t="shared" si="4"/>
        <v>0</v>
      </c>
      <c r="AC34" s="223">
        <f t="shared" si="5"/>
        <v>0</v>
      </c>
      <c r="AD34" s="231">
        <f t="shared" si="6"/>
        <v>0</v>
      </c>
      <c r="AE34" s="222">
        <f t="shared" si="7"/>
        <v>50</v>
      </c>
      <c r="AF34" s="222">
        <f t="shared" si="8"/>
        <v>10</v>
      </c>
      <c r="AG34" s="222">
        <f>IF(AND(SUM($AA$16:AA33)&gt;0,SUM($AG$16:AG33)&lt;$O$62,$W34&gt;=$O$65),$O$64,0)</f>
        <v>65.054347826086953</v>
      </c>
      <c r="AH34" s="220">
        <f>IF(SUM($AA$17:$AA33)&gt;0,($O$62-SUM($AG$17:$AG33))*$E$65,0)</f>
        <v>10.538804347826085</v>
      </c>
      <c r="AI34" s="223">
        <f t="shared" si="9"/>
        <v>60</v>
      </c>
      <c r="AJ34" s="220">
        <f t="shared" si="10"/>
        <v>-60</v>
      </c>
      <c r="AK34" s="243">
        <f>(SUM($P$31,$P$51)-SUM($AU$17:AU33))*$O$109</f>
        <v>9.7684807535216347</v>
      </c>
      <c r="AL34" s="245"/>
      <c r="AM34" s="221">
        <f t="shared" si="11"/>
        <v>-32.492588506332943</v>
      </c>
      <c r="AN34" s="161"/>
      <c r="AO34" s="219">
        <f t="shared" si="12"/>
        <v>0</v>
      </c>
      <c r="AP34" s="220">
        <f t="shared" si="13"/>
        <v>0</v>
      </c>
      <c r="AQ34" s="220">
        <f t="shared" si="14"/>
        <v>0</v>
      </c>
      <c r="AR34" s="222">
        <f t="shared" si="15"/>
        <v>0</v>
      </c>
      <c r="AS34" s="223">
        <f t="shared" si="16"/>
        <v>0</v>
      </c>
      <c r="AT34" s="222">
        <f t="shared" si="17"/>
        <v>0</v>
      </c>
      <c r="AU34" s="222">
        <f t="shared" si="18"/>
        <v>91.204210324578867</v>
      </c>
      <c r="AV34" s="222">
        <f t="shared" si="19"/>
        <v>23.972827937642126</v>
      </c>
      <c r="AW34" s="222">
        <f t="shared" si="20"/>
        <v>47.5</v>
      </c>
      <c r="AX34" s="222">
        <f t="shared" si="21"/>
        <v>6</v>
      </c>
      <c r="AY34" s="222">
        <f t="shared" si="22"/>
        <v>15.18</v>
      </c>
      <c r="AZ34" s="222">
        <f>IF(AND(SUM($AQ$16:AQ33)&gt;0,SUM($AZ$16:AZ33)&lt;$P$62,$W34&gt;=$P$65),$P$64,0)</f>
        <v>18.586956521739129</v>
      </c>
      <c r="BA34" s="222">
        <f>IF(SUM($AQ$17:$AQ33)&gt;0,($P$62-SUM($AZ$17:$AZ33))*$F$65,0)</f>
        <v>3.0110869565217393</v>
      </c>
      <c r="BB34" s="223">
        <f t="shared" si="23"/>
        <v>183.85703826222101</v>
      </c>
      <c r="BC34" s="220">
        <f t="shared" si="24"/>
        <v>-183.85703826222101</v>
      </c>
      <c r="BD34" s="221">
        <f t="shared" si="25"/>
        <v>-99.566518137457649</v>
      </c>
      <c r="BE34" s="48"/>
      <c r="BF34" s="46">
        <f t="shared" si="43"/>
        <v>0.54154314177221574</v>
      </c>
      <c r="BH34" s="219">
        <f t="shared" si="26"/>
        <v>0</v>
      </c>
      <c r="BI34" s="219">
        <f t="shared" si="27"/>
        <v>91.204210324578867</v>
      </c>
      <c r="BJ34" s="220">
        <f t="shared" si="28"/>
        <v>23.972827937642126</v>
      </c>
      <c r="BK34" s="220">
        <f t="shared" si="29"/>
        <v>47.5</v>
      </c>
      <c r="BL34" s="220">
        <f t="shared" si="30"/>
        <v>15.18</v>
      </c>
      <c r="BM34" s="220">
        <f t="shared" si="31"/>
        <v>0</v>
      </c>
      <c r="BN34" s="221">
        <f t="shared" si="32"/>
        <v>177.85703826222101</v>
      </c>
      <c r="BO34" s="220">
        <f t="shared" si="33"/>
        <v>0</v>
      </c>
      <c r="BP34" s="220">
        <f t="shared" si="34"/>
        <v>47.5</v>
      </c>
      <c r="BQ34" s="220">
        <f t="shared" si="35"/>
        <v>16.922315679918619</v>
      </c>
      <c r="BR34" s="220">
        <f t="shared" si="36"/>
        <v>15</v>
      </c>
      <c r="BS34" s="220">
        <f t="shared" si="37"/>
        <v>0</v>
      </c>
      <c r="BT34" s="220">
        <f t="shared" si="38"/>
        <v>0.18</v>
      </c>
      <c r="BU34" s="221">
        <f t="shared" si="39"/>
        <v>62.68</v>
      </c>
      <c r="BV34" s="221">
        <f t="shared" si="40"/>
        <v>115.177038262221</v>
      </c>
      <c r="BW34" s="163"/>
      <c r="BX34" s="155">
        <f t="shared" si="41"/>
        <v>88.276067042063971</v>
      </c>
      <c r="BY34" s="273">
        <f t="shared" si="44"/>
        <v>0</v>
      </c>
      <c r="CA34"/>
    </row>
    <row r="35" spans="2:79" ht="15.75" customHeight="1">
      <c r="B35" s="55" t="s">
        <v>113</v>
      </c>
      <c r="C35" s="2" t="s">
        <v>114</v>
      </c>
      <c r="D35" t="s">
        <v>38</v>
      </c>
      <c r="F35" s="15">
        <v>1.4661200140502781E-2</v>
      </c>
      <c r="J35" s="101" t="s">
        <v>116</v>
      </c>
      <c r="O35" t="s">
        <v>2</v>
      </c>
      <c r="P35" t="s">
        <v>50</v>
      </c>
      <c r="V35" s="57">
        <f t="shared" si="42"/>
        <v>52321</v>
      </c>
      <c r="W35" s="7">
        <v>19</v>
      </c>
      <c r="X35" s="269" t="str">
        <f t="shared" si="0"/>
        <v>維持管理・運営期間</v>
      </c>
      <c r="Y35" s="231">
        <f t="shared" si="1"/>
        <v>0</v>
      </c>
      <c r="Z35" s="222">
        <f t="shared" si="2"/>
        <v>0</v>
      </c>
      <c r="AA35" s="222">
        <f t="shared" si="3"/>
        <v>0</v>
      </c>
      <c r="AB35" s="222">
        <f t="shared" si="4"/>
        <v>0</v>
      </c>
      <c r="AC35" s="223">
        <f t="shared" si="5"/>
        <v>0</v>
      </c>
      <c r="AD35" s="231">
        <f t="shared" si="6"/>
        <v>0</v>
      </c>
      <c r="AE35" s="222">
        <f t="shared" si="7"/>
        <v>50</v>
      </c>
      <c r="AF35" s="222">
        <f t="shared" si="8"/>
        <v>10</v>
      </c>
      <c r="AG35" s="222">
        <f>IF(AND(SUM($AA$16:AA34)&gt;0,SUM($AG$16:AG34)&lt;$O$62,$W35&gt;=$O$65),$O$64,0)</f>
        <v>65.054347826086953</v>
      </c>
      <c r="AH35" s="220">
        <f>IF(SUM($AA$17:$AA34)&gt;0,($O$62-SUM($AG$17:$AG34))*$E$65,0)</f>
        <v>9.6605706521739112</v>
      </c>
      <c r="AI35" s="223">
        <f t="shared" si="9"/>
        <v>60</v>
      </c>
      <c r="AJ35" s="220">
        <f t="shared" si="10"/>
        <v>-60</v>
      </c>
      <c r="AK35" s="243">
        <f>(SUM($P$31,$P$51)-SUM($AU$17:AU34))*$O$109</f>
        <v>8.2945112568096029</v>
      </c>
      <c r="AL35" s="245"/>
      <c r="AM35" s="221">
        <f t="shared" si="11"/>
        <v>-31.404085223182804</v>
      </c>
      <c r="AN35" s="161"/>
      <c r="AO35" s="219">
        <f t="shared" si="12"/>
        <v>0</v>
      </c>
      <c r="AP35" s="220">
        <f t="shared" si="13"/>
        <v>0</v>
      </c>
      <c r="AQ35" s="220">
        <f t="shared" si="14"/>
        <v>0</v>
      </c>
      <c r="AR35" s="222">
        <f t="shared" si="15"/>
        <v>0</v>
      </c>
      <c r="AS35" s="223">
        <f t="shared" si="16"/>
        <v>0</v>
      </c>
      <c r="AT35" s="222">
        <f t="shared" si="17"/>
        <v>0</v>
      </c>
      <c r="AU35" s="222">
        <f t="shared" si="18"/>
        <v>94.821478763918506</v>
      </c>
      <c r="AV35" s="222">
        <f t="shared" si="19"/>
        <v>20.355559498302494</v>
      </c>
      <c r="AW35" s="222">
        <f t="shared" si="20"/>
        <v>47.5</v>
      </c>
      <c r="AX35" s="222">
        <f t="shared" si="21"/>
        <v>6</v>
      </c>
      <c r="AY35" s="222">
        <f t="shared" si="22"/>
        <v>15.18</v>
      </c>
      <c r="AZ35" s="222">
        <f>IF(AND(SUM($AQ$16:AQ34)&gt;0,SUM($AZ$16:AZ34)&lt;$P$62,$W35&gt;=$P$65),$P$64,0)</f>
        <v>18.586956521739129</v>
      </c>
      <c r="BA35" s="222">
        <f>IF(SUM($AQ$17:$AQ34)&gt;0,($P$62-SUM($AZ$17:$AZ34))*$F$65,0)</f>
        <v>2.7601630434782614</v>
      </c>
      <c r="BB35" s="223">
        <f t="shared" si="23"/>
        <v>183.85703826222101</v>
      </c>
      <c r="BC35" s="220">
        <f t="shared" si="24"/>
        <v>-183.85703826222101</v>
      </c>
      <c r="BD35" s="221">
        <f t="shared" si="25"/>
        <v>-96.231034974479499</v>
      </c>
      <c r="BE35" s="48"/>
      <c r="BF35" s="46">
        <f t="shared" si="43"/>
        <v>0.52340142038638005</v>
      </c>
      <c r="BH35" s="219">
        <f t="shared" si="26"/>
        <v>0</v>
      </c>
      <c r="BI35" s="219">
        <f t="shared" si="27"/>
        <v>94.821478763918506</v>
      </c>
      <c r="BJ35" s="220">
        <f t="shared" si="28"/>
        <v>20.355559498302494</v>
      </c>
      <c r="BK35" s="220">
        <f t="shared" si="29"/>
        <v>47.5</v>
      </c>
      <c r="BL35" s="220">
        <f t="shared" si="30"/>
        <v>15.18</v>
      </c>
      <c r="BM35" s="220">
        <f t="shared" si="31"/>
        <v>0</v>
      </c>
      <c r="BN35" s="221">
        <f t="shared" si="32"/>
        <v>177.85703826222101</v>
      </c>
      <c r="BO35" s="220">
        <f t="shared" si="33"/>
        <v>0</v>
      </c>
      <c r="BP35" s="220">
        <f t="shared" si="34"/>
        <v>47.5</v>
      </c>
      <c r="BQ35" s="220">
        <f t="shared" si="35"/>
        <v>14.303941587767518</v>
      </c>
      <c r="BR35" s="220">
        <f t="shared" si="36"/>
        <v>15</v>
      </c>
      <c r="BS35" s="220">
        <f t="shared" si="37"/>
        <v>0</v>
      </c>
      <c r="BT35" s="220">
        <f t="shared" si="38"/>
        <v>0.18</v>
      </c>
      <c r="BU35" s="221">
        <f t="shared" si="39"/>
        <v>62.68</v>
      </c>
      <c r="BV35" s="221">
        <f t="shared" si="40"/>
        <v>115.177038262221</v>
      </c>
      <c r="BW35" s="163"/>
      <c r="BX35" s="155">
        <f t="shared" si="41"/>
        <v>90.894441134215072</v>
      </c>
      <c r="BY35" s="273">
        <f t="shared" si="44"/>
        <v>0</v>
      </c>
      <c r="CA35"/>
    </row>
    <row r="36" spans="2:79" ht="15.75" customHeight="1">
      <c r="C36" s="2" t="s">
        <v>117</v>
      </c>
      <c r="D36" t="s">
        <v>38</v>
      </c>
      <c r="F36" s="137">
        <f>F70</f>
        <v>1.4999999999999999E-2</v>
      </c>
      <c r="J36" s="4"/>
      <c r="K36" s="55" t="s">
        <v>118</v>
      </c>
      <c r="N36" s="19" t="s">
        <v>38</v>
      </c>
      <c r="O36" s="52"/>
      <c r="P36" s="36">
        <f>SUM(F35:F37)</f>
        <v>3.9661200140502784E-2</v>
      </c>
      <c r="V36" s="57">
        <f t="shared" si="42"/>
        <v>52687</v>
      </c>
      <c r="W36" s="7">
        <v>20</v>
      </c>
      <c r="X36" s="269" t="str">
        <f t="shared" si="0"/>
        <v>維持管理・運営期間</v>
      </c>
      <c r="Y36" s="231">
        <f t="shared" si="1"/>
        <v>0</v>
      </c>
      <c r="Z36" s="222">
        <f t="shared" si="2"/>
        <v>0</v>
      </c>
      <c r="AA36" s="222">
        <f t="shared" si="3"/>
        <v>0</v>
      </c>
      <c r="AB36" s="222">
        <f t="shared" si="4"/>
        <v>0</v>
      </c>
      <c r="AC36" s="223">
        <f t="shared" si="5"/>
        <v>0</v>
      </c>
      <c r="AD36" s="231">
        <f t="shared" si="6"/>
        <v>0</v>
      </c>
      <c r="AE36" s="222">
        <f t="shared" si="7"/>
        <v>50</v>
      </c>
      <c r="AF36" s="222">
        <f t="shared" si="8"/>
        <v>10</v>
      </c>
      <c r="AG36" s="222">
        <f>IF(AND(SUM($AA$16:AA35)&gt;0,SUM($AG$16:AG35)&lt;$O$62,$W36&gt;=$O$65),$O$64,0)</f>
        <v>65.054347826086953</v>
      </c>
      <c r="AH36" s="220">
        <f>IF(SUM($AA$17:$AA35)&gt;0,($O$62-SUM($AG$17:$AG35))*$E$65,0)</f>
        <v>8.7823369565217373</v>
      </c>
      <c r="AI36" s="223">
        <f t="shared" si="9"/>
        <v>60</v>
      </c>
      <c r="AJ36" s="220">
        <f t="shared" si="10"/>
        <v>-60</v>
      </c>
      <c r="AK36" s="243">
        <f>(SUM($P$31,$P$51)-SUM($AU$17:AU35))*$O$109</f>
        <v>6.7620823608874812</v>
      </c>
      <c r="AL36" s="245"/>
      <c r="AM36" s="221">
        <f t="shared" si="11"/>
        <v>-30.352046852552565</v>
      </c>
      <c r="AN36" s="161"/>
      <c r="AO36" s="219">
        <f t="shared" si="12"/>
        <v>0</v>
      </c>
      <c r="AP36" s="220">
        <f t="shared" si="13"/>
        <v>0</v>
      </c>
      <c r="AQ36" s="220">
        <f t="shared" si="14"/>
        <v>0</v>
      </c>
      <c r="AR36" s="222">
        <f t="shared" si="15"/>
        <v>0</v>
      </c>
      <c r="AS36" s="223">
        <f t="shared" si="16"/>
        <v>0</v>
      </c>
      <c r="AT36" s="222">
        <f t="shared" si="17"/>
        <v>0</v>
      </c>
      <c r="AU36" s="222">
        <f t="shared" si="18"/>
        <v>98.582212410792707</v>
      </c>
      <c r="AV36" s="222">
        <f t="shared" si="19"/>
        <v>16.59482585142829</v>
      </c>
      <c r="AW36" s="222">
        <f t="shared" si="20"/>
        <v>47.5</v>
      </c>
      <c r="AX36" s="222">
        <f t="shared" si="21"/>
        <v>6</v>
      </c>
      <c r="AY36" s="222">
        <f t="shared" si="22"/>
        <v>15.18</v>
      </c>
      <c r="AZ36" s="222">
        <f>IF(AND(SUM($AQ$16:AQ35)&gt;0,SUM($AZ$16:AZ35)&lt;$P$62,$W36&gt;=$P$65),$P$64,0)</f>
        <v>18.586956521739129</v>
      </c>
      <c r="BA36" s="222">
        <f>IF(SUM($AQ$17:$AQ35)&gt;0,($P$62-SUM($AZ$17:$AZ35))*$F$65,0)</f>
        <v>2.509239130434783</v>
      </c>
      <c r="BB36" s="223">
        <f t="shared" si="23"/>
        <v>183.85703826222101</v>
      </c>
      <c r="BC36" s="220">
        <f t="shared" si="24"/>
        <v>-183.85703826222101</v>
      </c>
      <c r="BD36" s="221">
        <f t="shared" si="25"/>
        <v>-93.007290658441363</v>
      </c>
      <c r="BE36" s="48"/>
      <c r="BF36" s="46">
        <f t="shared" si="43"/>
        <v>0.50586744754254276</v>
      </c>
      <c r="BH36" s="219">
        <f t="shared" si="26"/>
        <v>0</v>
      </c>
      <c r="BI36" s="219">
        <f t="shared" si="27"/>
        <v>98.582212410792707</v>
      </c>
      <c r="BJ36" s="220">
        <f t="shared" si="28"/>
        <v>16.59482585142829</v>
      </c>
      <c r="BK36" s="220">
        <f t="shared" si="29"/>
        <v>47.5</v>
      </c>
      <c r="BL36" s="220">
        <f t="shared" si="30"/>
        <v>15.18</v>
      </c>
      <c r="BM36" s="220">
        <f t="shared" si="31"/>
        <v>0</v>
      </c>
      <c r="BN36" s="221">
        <f t="shared" si="32"/>
        <v>177.85703826222101</v>
      </c>
      <c r="BO36" s="220">
        <f t="shared" si="33"/>
        <v>0</v>
      </c>
      <c r="BP36" s="220">
        <f t="shared" si="34"/>
        <v>47.5</v>
      </c>
      <c r="BQ36" s="220">
        <f t="shared" si="35"/>
        <v>11.607903377626416</v>
      </c>
      <c r="BR36" s="220">
        <f t="shared" si="36"/>
        <v>15</v>
      </c>
      <c r="BS36" s="220">
        <f t="shared" si="37"/>
        <v>0</v>
      </c>
      <c r="BT36" s="220">
        <f t="shared" si="38"/>
        <v>0.18</v>
      </c>
      <c r="BU36" s="221">
        <f t="shared" si="39"/>
        <v>62.68</v>
      </c>
      <c r="BV36" s="221">
        <f t="shared" si="40"/>
        <v>115.177038262221</v>
      </c>
      <c r="BW36" s="163"/>
      <c r="BX36" s="155">
        <f t="shared" si="41"/>
        <v>93.590479344356169</v>
      </c>
      <c r="BY36" s="273">
        <f t="shared" si="44"/>
        <v>0</v>
      </c>
      <c r="CA36"/>
    </row>
    <row r="37" spans="2:79" ht="15.75" customHeight="1">
      <c r="C37" s="2" t="s">
        <v>119</v>
      </c>
      <c r="D37" t="s">
        <v>38</v>
      </c>
      <c r="F37" s="107">
        <v>0.01</v>
      </c>
      <c r="V37" s="57">
        <f t="shared" si="42"/>
        <v>53052</v>
      </c>
      <c r="W37" s="7">
        <v>21</v>
      </c>
      <c r="X37" s="269" t="str">
        <f t="shared" si="0"/>
        <v>維持管理・運営期間</v>
      </c>
      <c r="Y37" s="231">
        <f t="shared" si="1"/>
        <v>0</v>
      </c>
      <c r="Z37" s="222">
        <f t="shared" si="2"/>
        <v>0</v>
      </c>
      <c r="AA37" s="222">
        <f t="shared" si="3"/>
        <v>0</v>
      </c>
      <c r="AB37" s="222">
        <f t="shared" si="4"/>
        <v>0</v>
      </c>
      <c r="AC37" s="223">
        <f t="shared" si="5"/>
        <v>0</v>
      </c>
      <c r="AD37" s="231">
        <f t="shared" si="6"/>
        <v>0</v>
      </c>
      <c r="AE37" s="222">
        <f t="shared" si="7"/>
        <v>50</v>
      </c>
      <c r="AF37" s="222">
        <f t="shared" si="8"/>
        <v>10</v>
      </c>
      <c r="AG37" s="222">
        <f>IF(AND(SUM($AA$16:AA36)&gt;0,SUM($AG$16:AG36)&lt;$O$62,$W37&gt;=$O$65),$O$64,0)</f>
        <v>65.054347826086953</v>
      </c>
      <c r="AH37" s="220">
        <f>IF(SUM($AA$17:$AA36)&gt;0,($O$62-SUM($AG$17:$AG36))*$E$65,0)</f>
        <v>7.9041032608695625</v>
      </c>
      <c r="AI37" s="223">
        <f t="shared" si="9"/>
        <v>60</v>
      </c>
      <c r="AJ37" s="220">
        <f t="shared" si="10"/>
        <v>-60</v>
      </c>
      <c r="AK37" s="243">
        <f>(SUM($P$31,$P$51)-SUM($AU$17:AU36))*$O$109</f>
        <v>5.1688754958231042</v>
      </c>
      <c r="AL37" s="245"/>
      <c r="AM37" s="221">
        <f t="shared" si="11"/>
        <v>-29.335251818112908</v>
      </c>
      <c r="AN37" s="161"/>
      <c r="AO37" s="219">
        <f t="shared" si="12"/>
        <v>0</v>
      </c>
      <c r="AP37" s="220">
        <f t="shared" si="13"/>
        <v>0</v>
      </c>
      <c r="AQ37" s="220">
        <f t="shared" si="14"/>
        <v>0</v>
      </c>
      <c r="AR37" s="222">
        <f t="shared" si="15"/>
        <v>0</v>
      </c>
      <c r="AS37" s="223">
        <f t="shared" si="16"/>
        <v>0</v>
      </c>
      <c r="AT37" s="222">
        <f t="shared" si="17"/>
        <v>0</v>
      </c>
      <c r="AU37" s="222">
        <f t="shared" si="18"/>
        <v>102.49210126751072</v>
      </c>
      <c r="AV37" s="222">
        <f t="shared" si="19"/>
        <v>12.684936994710281</v>
      </c>
      <c r="AW37" s="222">
        <f t="shared" si="20"/>
        <v>47.5</v>
      </c>
      <c r="AX37" s="222">
        <f t="shared" si="21"/>
        <v>6</v>
      </c>
      <c r="AY37" s="222">
        <f t="shared" si="22"/>
        <v>15.18</v>
      </c>
      <c r="AZ37" s="222">
        <f>IF(AND(SUM($AQ$16:AQ36)&gt;0,SUM($AZ$16:AZ36)&lt;$P$62,$W37&gt;=$P$65),$P$64,0)</f>
        <v>18.586956521739129</v>
      </c>
      <c r="BA37" s="222">
        <f>IF(SUM($AQ$17:$AQ36)&gt;0,($P$62-SUM($AZ$17:$AZ36))*$F$65,0)</f>
        <v>2.2583152173913046</v>
      </c>
      <c r="BB37" s="223">
        <f t="shared" si="23"/>
        <v>183.85703826222101</v>
      </c>
      <c r="BC37" s="220">
        <f t="shared" si="24"/>
        <v>-183.85703826222101</v>
      </c>
      <c r="BD37" s="221">
        <f t="shared" si="25"/>
        <v>-89.891541932577894</v>
      </c>
      <c r="BE37" s="48"/>
      <c r="BF37" s="46">
        <f t="shared" si="43"/>
        <v>0.48892086363521514</v>
      </c>
      <c r="BH37" s="219">
        <f t="shared" si="26"/>
        <v>0</v>
      </c>
      <c r="BI37" s="219">
        <f t="shared" si="27"/>
        <v>102.49210126751072</v>
      </c>
      <c r="BJ37" s="220">
        <f t="shared" si="28"/>
        <v>12.684936994710281</v>
      </c>
      <c r="BK37" s="220">
        <f t="shared" si="29"/>
        <v>47.5</v>
      </c>
      <c r="BL37" s="220">
        <f t="shared" si="30"/>
        <v>15.18</v>
      </c>
      <c r="BM37" s="220">
        <f t="shared" si="31"/>
        <v>0</v>
      </c>
      <c r="BN37" s="221">
        <f t="shared" si="32"/>
        <v>177.85703826222101</v>
      </c>
      <c r="BO37" s="220">
        <f t="shared" si="33"/>
        <v>0</v>
      </c>
      <c r="BP37" s="220">
        <f t="shared" si="34"/>
        <v>47.5</v>
      </c>
      <c r="BQ37" s="220">
        <f t="shared" si="35"/>
        <v>8.831897438547875</v>
      </c>
      <c r="BR37" s="220">
        <f t="shared" si="36"/>
        <v>15</v>
      </c>
      <c r="BS37" s="220">
        <f t="shared" si="37"/>
        <v>0</v>
      </c>
      <c r="BT37" s="220">
        <f t="shared" si="38"/>
        <v>0.18</v>
      </c>
      <c r="BU37" s="221">
        <f t="shared" si="39"/>
        <v>62.68</v>
      </c>
      <c r="BV37" s="221">
        <f t="shared" si="40"/>
        <v>115.177038262221</v>
      </c>
      <c r="BW37" s="163"/>
      <c r="BX37" s="155">
        <f t="shared" si="41"/>
        <v>96.366485283434699</v>
      </c>
      <c r="BY37" s="273">
        <f t="shared" si="44"/>
        <v>0</v>
      </c>
      <c r="CA37"/>
    </row>
    <row r="38" spans="2:79" ht="15.75" customHeight="1">
      <c r="C38" s="98"/>
      <c r="D38" s="100" t="s">
        <v>120</v>
      </c>
      <c r="E38" s="99"/>
      <c r="F38" s="97">
        <f>BY15</f>
        <v>0</v>
      </c>
      <c r="V38" s="57">
        <f t="shared" si="42"/>
        <v>53417</v>
      </c>
      <c r="W38" s="7">
        <v>22</v>
      </c>
      <c r="X38" s="269" t="str">
        <f t="shared" si="0"/>
        <v>維持管理・運営期間</v>
      </c>
      <c r="Y38" s="231">
        <f t="shared" si="1"/>
        <v>0</v>
      </c>
      <c r="Z38" s="222">
        <f t="shared" si="2"/>
        <v>0</v>
      </c>
      <c r="AA38" s="222">
        <f t="shared" si="3"/>
        <v>0</v>
      </c>
      <c r="AB38" s="222">
        <f t="shared" si="4"/>
        <v>0</v>
      </c>
      <c r="AC38" s="223">
        <f t="shared" si="5"/>
        <v>0</v>
      </c>
      <c r="AD38" s="231">
        <f t="shared" si="6"/>
        <v>0</v>
      </c>
      <c r="AE38" s="222">
        <f t="shared" si="7"/>
        <v>50</v>
      </c>
      <c r="AF38" s="222">
        <f t="shared" si="8"/>
        <v>10</v>
      </c>
      <c r="AG38" s="222">
        <f>IF(AND(SUM($AA$16:AA37)&gt;0,SUM($AG$16:AG37)&lt;$O$62,$W38&gt;=$O$65),$O$64,0)</f>
        <v>65.054347826086953</v>
      </c>
      <c r="AH38" s="220">
        <f>IF(SUM($AA$17:$AA37)&gt;0,($O$62-SUM($AG$17:$AG37))*$E$65,0)</f>
        <v>7.0258695652173877</v>
      </c>
      <c r="AI38" s="223">
        <f t="shared" si="9"/>
        <v>60</v>
      </c>
      <c r="AJ38" s="220">
        <f t="shared" si="10"/>
        <v>-60</v>
      </c>
      <c r="AK38" s="243">
        <f>(SUM($P$31,$P$51)-SUM($AU$17:AU37))*$O$109</f>
        <v>3.512480134418186</v>
      </c>
      <c r="AL38" s="245"/>
      <c r="AM38" s="221">
        <f t="shared" si="11"/>
        <v>-28.352519466400501</v>
      </c>
      <c r="AN38" s="161"/>
      <c r="AO38" s="219">
        <f t="shared" si="12"/>
        <v>0</v>
      </c>
      <c r="AP38" s="220">
        <f t="shared" si="13"/>
        <v>0</v>
      </c>
      <c r="AQ38" s="220">
        <f t="shared" si="14"/>
        <v>0</v>
      </c>
      <c r="AR38" s="222">
        <f t="shared" si="15"/>
        <v>0</v>
      </c>
      <c r="AS38" s="223">
        <f t="shared" si="16"/>
        <v>0</v>
      </c>
      <c r="AT38" s="222">
        <f t="shared" si="17"/>
        <v>0</v>
      </c>
      <c r="AU38" s="222">
        <f t="shared" si="18"/>
        <v>106.55706100870215</v>
      </c>
      <c r="AV38" s="222">
        <f t="shared" si="19"/>
        <v>8.6199772535188597</v>
      </c>
      <c r="AW38" s="222">
        <f t="shared" si="20"/>
        <v>47.5</v>
      </c>
      <c r="AX38" s="222">
        <f t="shared" si="21"/>
        <v>6</v>
      </c>
      <c r="AY38" s="222">
        <f t="shared" si="22"/>
        <v>15.18</v>
      </c>
      <c r="AZ38" s="222">
        <f>IF(AND(SUM($AQ$16:AQ37)&gt;0,SUM($AZ$16:AZ37)&lt;$P$62,$W38&gt;=$P$65),$P$64,0)</f>
        <v>18.586956521739129</v>
      </c>
      <c r="BA38" s="222">
        <f>IF(SUM($AQ$17:$AQ37)&gt;0,($P$62-SUM($AZ$17:$AZ37))*$F$65,0)</f>
        <v>2.0073913043478262</v>
      </c>
      <c r="BB38" s="223">
        <f t="shared" si="23"/>
        <v>183.85703826222101</v>
      </c>
      <c r="BC38" s="220">
        <f t="shared" si="24"/>
        <v>-183.85703826222101</v>
      </c>
      <c r="BD38" s="221">
        <f t="shared" si="25"/>
        <v>-86.880170939406057</v>
      </c>
      <c r="BE38" s="48"/>
      <c r="BF38" s="46">
        <f t="shared" si="43"/>
        <v>0.47254199110667505</v>
      </c>
      <c r="BH38" s="219">
        <f t="shared" si="26"/>
        <v>0</v>
      </c>
      <c r="BI38" s="219">
        <f t="shared" si="27"/>
        <v>106.55706100870215</v>
      </c>
      <c r="BJ38" s="220">
        <f t="shared" si="28"/>
        <v>8.6199772535188597</v>
      </c>
      <c r="BK38" s="220">
        <f t="shared" si="29"/>
        <v>47.5</v>
      </c>
      <c r="BL38" s="220">
        <f t="shared" si="30"/>
        <v>15.18</v>
      </c>
      <c r="BM38" s="220">
        <f t="shared" si="31"/>
        <v>0</v>
      </c>
      <c r="BN38" s="221">
        <f t="shared" si="32"/>
        <v>177.85703826222101</v>
      </c>
      <c r="BO38" s="220">
        <f t="shared" si="33"/>
        <v>0</v>
      </c>
      <c r="BP38" s="220">
        <f t="shared" si="34"/>
        <v>47.5</v>
      </c>
      <c r="BQ38" s="220">
        <f t="shared" si="35"/>
        <v>5.9735518317191039</v>
      </c>
      <c r="BR38" s="220">
        <f t="shared" si="36"/>
        <v>15</v>
      </c>
      <c r="BS38" s="220">
        <f t="shared" si="37"/>
        <v>0</v>
      </c>
      <c r="BT38" s="220">
        <f t="shared" si="38"/>
        <v>0.18</v>
      </c>
      <c r="BU38" s="221">
        <f t="shared" si="39"/>
        <v>62.68</v>
      </c>
      <c r="BV38" s="221">
        <f t="shared" si="40"/>
        <v>115.177038262221</v>
      </c>
      <c r="BW38" s="163"/>
      <c r="BX38" s="155">
        <f t="shared" si="41"/>
        <v>99.224830890263476</v>
      </c>
      <c r="BY38" s="273">
        <f t="shared" si="44"/>
        <v>0</v>
      </c>
      <c r="CA38"/>
    </row>
    <row r="39" spans="2:79" ht="15.75" customHeight="1">
      <c r="V39" s="57">
        <f t="shared" si="42"/>
        <v>53782</v>
      </c>
      <c r="W39" s="7">
        <v>23</v>
      </c>
      <c r="X39" s="269" t="str">
        <f t="shared" si="0"/>
        <v>維持管理・運営期間</v>
      </c>
      <c r="Y39" s="231">
        <f t="shared" si="1"/>
        <v>0</v>
      </c>
      <c r="Z39" s="222">
        <f t="shared" si="2"/>
        <v>0</v>
      </c>
      <c r="AA39" s="222">
        <f t="shared" si="3"/>
        <v>0</v>
      </c>
      <c r="AB39" s="222">
        <f t="shared" si="4"/>
        <v>0</v>
      </c>
      <c r="AC39" s="223">
        <f t="shared" si="5"/>
        <v>0</v>
      </c>
      <c r="AD39" s="231">
        <f t="shared" si="6"/>
        <v>0</v>
      </c>
      <c r="AE39" s="222">
        <f t="shared" si="7"/>
        <v>50</v>
      </c>
      <c r="AF39" s="222">
        <f t="shared" si="8"/>
        <v>10</v>
      </c>
      <c r="AG39" s="222">
        <f>IF(AND(SUM($AA$16:AA38)&gt;0,SUM($AG$16:AG38)&lt;$O$62,$W39&gt;=$O$65),$O$64,0)</f>
        <v>65.054347826086953</v>
      </c>
      <c r="AH39" s="220">
        <f>IF(SUM($AA$17:$AA38)&gt;0,($O$62-SUM($AG$17:$AG38))*$E$65,0)</f>
        <v>6.1476358695652147</v>
      </c>
      <c r="AI39" s="223">
        <f t="shared" si="9"/>
        <v>60</v>
      </c>
      <c r="AJ39" s="220">
        <f t="shared" si="10"/>
        <v>-60</v>
      </c>
      <c r="AK39" s="243">
        <f>(SUM($P$31,$P$51)-SUM($AU$17:AU38))*$O$109</f>
        <v>1.7903901450727835</v>
      </c>
      <c r="AL39" s="245"/>
      <c r="AM39" s="221">
        <f t="shared" si="11"/>
        <v>-27.402708695900021</v>
      </c>
      <c r="AN39" s="161"/>
      <c r="AO39" s="219">
        <f t="shared" si="12"/>
        <v>0</v>
      </c>
      <c r="AP39" s="220">
        <f t="shared" si="13"/>
        <v>0</v>
      </c>
      <c r="AQ39" s="220">
        <f t="shared" si="14"/>
        <v>0</v>
      </c>
      <c r="AR39" s="222">
        <f t="shared" si="15"/>
        <v>0</v>
      </c>
      <c r="AS39" s="223">
        <f t="shared" si="16"/>
        <v>0</v>
      </c>
      <c r="AT39" s="222">
        <f t="shared" si="17"/>
        <v>0</v>
      </c>
      <c r="AU39" s="222">
        <f t="shared" si="18"/>
        <v>110.78324193175204</v>
      </c>
      <c r="AV39" s="222">
        <f t="shared" si="19"/>
        <v>4.393796330468958</v>
      </c>
      <c r="AW39" s="222">
        <f t="shared" si="20"/>
        <v>47.5</v>
      </c>
      <c r="AX39" s="222">
        <f t="shared" si="21"/>
        <v>6</v>
      </c>
      <c r="AY39" s="222">
        <f t="shared" si="22"/>
        <v>15.18</v>
      </c>
      <c r="AZ39" s="222">
        <f>IF(AND(SUM($AQ$16:AQ38)&gt;0,SUM($AZ$16:AZ38)&lt;$P$62,$W39&gt;=$P$65),$P$64,0)</f>
        <v>18.586956521739129</v>
      </c>
      <c r="BA39" s="222">
        <f>IF(SUM($AQ$17:$AQ38)&gt;0,($P$62-SUM($AZ$17:$AZ38))*$F$65,0)</f>
        <v>1.756467391304348</v>
      </c>
      <c r="BB39" s="223">
        <f t="shared" si="23"/>
        <v>183.85703826222101</v>
      </c>
      <c r="BC39" s="220">
        <f t="shared" si="24"/>
        <v>-183.85703826222101</v>
      </c>
      <c r="BD39" s="221">
        <f t="shared" si="25"/>
        <v>-83.969681019843108</v>
      </c>
      <c r="BE39" s="48"/>
      <c r="BF39" s="46">
        <f t="shared" si="43"/>
        <v>0.45671181159833368</v>
      </c>
      <c r="BH39" s="219">
        <f t="shared" si="26"/>
        <v>0</v>
      </c>
      <c r="BI39" s="219">
        <f t="shared" si="27"/>
        <v>110.78324193175204</v>
      </c>
      <c r="BJ39" s="220">
        <f t="shared" si="28"/>
        <v>4.393796330468958</v>
      </c>
      <c r="BK39" s="220">
        <f t="shared" si="29"/>
        <v>47.5</v>
      </c>
      <c r="BL39" s="220">
        <f t="shared" si="30"/>
        <v>15.18</v>
      </c>
      <c r="BM39" s="220">
        <f t="shared" si="31"/>
        <v>0</v>
      </c>
      <c r="BN39" s="221">
        <f t="shared" si="32"/>
        <v>177.85703826222101</v>
      </c>
      <c r="BO39" s="220">
        <f t="shared" si="33"/>
        <v>0</v>
      </c>
      <c r="BP39" s="220">
        <f t="shared" si="34"/>
        <v>47.5</v>
      </c>
      <c r="BQ39" s="220">
        <f t="shared" si="35"/>
        <v>3.0304242637754557</v>
      </c>
      <c r="BR39" s="220">
        <f t="shared" si="36"/>
        <v>15</v>
      </c>
      <c r="BS39" s="220">
        <f t="shared" si="37"/>
        <v>0</v>
      </c>
      <c r="BT39" s="220">
        <f t="shared" si="38"/>
        <v>0</v>
      </c>
      <c r="BU39" s="221">
        <f t="shared" si="39"/>
        <v>62.5</v>
      </c>
      <c r="BV39" s="221">
        <f t="shared" si="40"/>
        <v>115.35703826222101</v>
      </c>
      <c r="BW39" s="163"/>
      <c r="BX39" s="155">
        <f t="shared" si="41"/>
        <v>102.16795845820714</v>
      </c>
      <c r="BY39" s="273">
        <f t="shared" si="44"/>
        <v>0</v>
      </c>
      <c r="CA39"/>
    </row>
    <row r="40" spans="2:79" ht="15.75" customHeight="1">
      <c r="B40" t="s">
        <v>121</v>
      </c>
      <c r="D40" t="s">
        <v>7</v>
      </c>
      <c r="F40" s="276">
        <f>SUM(F41:F42)</f>
        <v>50</v>
      </c>
      <c r="J40" s="4" t="s">
        <v>123</v>
      </c>
      <c r="O40" t="s">
        <v>2</v>
      </c>
      <c r="P40" t="s">
        <v>50</v>
      </c>
      <c r="V40" s="57">
        <f t="shared" si="42"/>
        <v>54148</v>
      </c>
      <c r="W40" s="26">
        <v>24</v>
      </c>
      <c r="X40" s="269" t="str">
        <f t="shared" si="0"/>
        <v>-</v>
      </c>
      <c r="Y40" s="231">
        <f t="shared" si="1"/>
        <v>0</v>
      </c>
      <c r="Z40" s="222">
        <f t="shared" si="2"/>
        <v>0</v>
      </c>
      <c r="AA40" s="222">
        <f t="shared" si="3"/>
        <v>0</v>
      </c>
      <c r="AB40" s="222">
        <f t="shared" si="4"/>
        <v>0</v>
      </c>
      <c r="AC40" s="223">
        <f t="shared" si="5"/>
        <v>0</v>
      </c>
      <c r="AD40" s="231">
        <f t="shared" si="6"/>
        <v>0</v>
      </c>
      <c r="AE40" s="222">
        <f t="shared" si="7"/>
        <v>0</v>
      </c>
      <c r="AF40" s="222">
        <f t="shared" si="8"/>
        <v>0</v>
      </c>
      <c r="AG40" s="222">
        <f>IF(AND(SUM($AA$16:AA39)&gt;0,SUM($AG$16:AG39)&lt;$O$62,$W40&gt;=$O$65),$O$64,0)</f>
        <v>65.054347826086953</v>
      </c>
      <c r="AH40" s="220">
        <f>IF(SUM($AA$17:$AA39)&gt;0,($O$62-SUM($AG$17:$AG39))*$E$65,0)</f>
        <v>5.2694021739130408</v>
      </c>
      <c r="AI40" s="223">
        <f t="shared" si="9"/>
        <v>0</v>
      </c>
      <c r="AJ40" s="220">
        <f t="shared" si="10"/>
        <v>0</v>
      </c>
      <c r="AK40" s="243">
        <f>(SUM($P$31,$P$51)-SUM($AU$17:AU39))*$O$109</f>
        <v>0</v>
      </c>
      <c r="AL40" s="245"/>
      <c r="AM40" s="221">
        <f t="shared" si="11"/>
        <v>0</v>
      </c>
      <c r="AN40" s="161"/>
      <c r="AO40" s="219">
        <f t="shared" si="12"/>
        <v>0</v>
      </c>
      <c r="AP40" s="220">
        <f t="shared" si="13"/>
        <v>0</v>
      </c>
      <c r="AQ40" s="220">
        <f t="shared" si="14"/>
        <v>0</v>
      </c>
      <c r="AR40" s="222">
        <f t="shared" si="15"/>
        <v>0</v>
      </c>
      <c r="AS40" s="223">
        <f t="shared" si="16"/>
        <v>0</v>
      </c>
      <c r="AT40" s="222">
        <f t="shared" si="17"/>
        <v>0</v>
      </c>
      <c r="AU40" s="222">
        <f t="shared" si="18"/>
        <v>0</v>
      </c>
      <c r="AV40" s="222">
        <f t="shared" si="19"/>
        <v>0</v>
      </c>
      <c r="AW40" s="222">
        <f t="shared" si="20"/>
        <v>0</v>
      </c>
      <c r="AX40" s="222">
        <f t="shared" si="21"/>
        <v>0</v>
      </c>
      <c r="AY40" s="222">
        <f t="shared" si="22"/>
        <v>0</v>
      </c>
      <c r="AZ40" s="222">
        <f>IF(AND(SUM($AQ$16:AQ39)&gt;0,SUM($AZ$16:AZ39)&lt;$P$62,$W40&gt;=$P$65),$P$64,0)</f>
        <v>18.586956521739129</v>
      </c>
      <c r="BA40" s="222">
        <f>IF(SUM($AQ$17:$AQ39)&gt;0,($P$62-SUM($AZ$17:$AZ39))*$F$65,0)</f>
        <v>1.5055434782608699</v>
      </c>
      <c r="BB40" s="223">
        <f t="shared" si="23"/>
        <v>0</v>
      </c>
      <c r="BC40" s="220">
        <f t="shared" si="24"/>
        <v>0</v>
      </c>
      <c r="BD40" s="221">
        <f t="shared" si="25"/>
        <v>0</v>
      </c>
      <c r="BE40" s="48"/>
      <c r="BF40" s="46">
        <f t="shared" si="43"/>
        <v>0.4414119438675328</v>
      </c>
      <c r="BH40" s="219">
        <f t="shared" si="26"/>
        <v>0</v>
      </c>
      <c r="BI40" s="219">
        <f t="shared" si="27"/>
        <v>0</v>
      </c>
      <c r="BJ40" s="220">
        <f t="shared" si="28"/>
        <v>0</v>
      </c>
      <c r="BK40" s="220">
        <f t="shared" si="29"/>
        <v>0</v>
      </c>
      <c r="BL40" s="220">
        <f t="shared" si="30"/>
        <v>0</v>
      </c>
      <c r="BM40" s="220">
        <f t="shared" si="31"/>
        <v>0</v>
      </c>
      <c r="BN40" s="221">
        <f t="shared" si="32"/>
        <v>0</v>
      </c>
      <c r="BO40" s="220">
        <f t="shared" si="33"/>
        <v>0</v>
      </c>
      <c r="BP40" s="220">
        <f t="shared" si="34"/>
        <v>0</v>
      </c>
      <c r="BQ40" s="220">
        <f t="shared" si="35"/>
        <v>0</v>
      </c>
      <c r="BR40" s="220">
        <f t="shared" si="36"/>
        <v>0</v>
      </c>
      <c r="BS40" s="220">
        <f t="shared" si="37"/>
        <v>0</v>
      </c>
      <c r="BT40" s="220">
        <f t="shared" si="38"/>
        <v>0</v>
      </c>
      <c r="BU40" s="221">
        <f t="shared" si="39"/>
        <v>0</v>
      </c>
      <c r="BV40" s="221">
        <f t="shared" si="40"/>
        <v>0</v>
      </c>
      <c r="BW40" s="163"/>
      <c r="BX40" s="155">
        <f t="shared" si="41"/>
        <v>0</v>
      </c>
      <c r="BY40" s="273">
        <f t="shared" si="44"/>
        <v>0</v>
      </c>
      <c r="CA40"/>
    </row>
    <row r="41" spans="2:79" ht="15.75" customHeight="1">
      <c r="C41" s="2" t="s">
        <v>105</v>
      </c>
      <c r="D41" t="s">
        <v>7</v>
      </c>
      <c r="F41" s="277">
        <f>事業費用概算!G27</f>
        <v>0</v>
      </c>
      <c r="K41" t="s">
        <v>124</v>
      </c>
      <c r="N41" s="19" t="s">
        <v>7</v>
      </c>
      <c r="O41" s="21">
        <f>F40</f>
        <v>50</v>
      </c>
      <c r="P41" s="68">
        <f>F40*(1-F52)</f>
        <v>47.5</v>
      </c>
      <c r="Q41" t="s">
        <v>106</v>
      </c>
      <c r="V41" s="57">
        <f t="shared" si="42"/>
        <v>54513</v>
      </c>
      <c r="W41" s="26">
        <v>25</v>
      </c>
      <c r="X41" s="269" t="str">
        <f t="shared" si="0"/>
        <v>-</v>
      </c>
      <c r="Y41" s="231">
        <f t="shared" si="1"/>
        <v>0</v>
      </c>
      <c r="Z41" s="222">
        <f t="shared" si="2"/>
        <v>0</v>
      </c>
      <c r="AA41" s="222">
        <f t="shared" si="3"/>
        <v>0</v>
      </c>
      <c r="AB41" s="222">
        <f t="shared" si="4"/>
        <v>0</v>
      </c>
      <c r="AC41" s="223">
        <f t="shared" si="5"/>
        <v>0</v>
      </c>
      <c r="AD41" s="231">
        <f t="shared" si="6"/>
        <v>0</v>
      </c>
      <c r="AE41" s="222">
        <f t="shared" si="7"/>
        <v>0</v>
      </c>
      <c r="AF41" s="222">
        <f t="shared" si="8"/>
        <v>0</v>
      </c>
      <c r="AG41" s="222">
        <f>IF(AND(SUM($AA$16:AA40)&gt;0,SUM($AG$16:AG40)&lt;$O$62,$W41&gt;=$O$65),$O$64,0)</f>
        <v>65.054347826086953</v>
      </c>
      <c r="AH41" s="220">
        <f>IF(SUM($AA$17:$AA40)&gt;0,($O$62-SUM($AG$17:$AG40))*$E$65,0)</f>
        <v>4.391168478260866</v>
      </c>
      <c r="AI41" s="223">
        <f t="shared" si="9"/>
        <v>0</v>
      </c>
      <c r="AJ41" s="220">
        <f t="shared" si="10"/>
        <v>0</v>
      </c>
      <c r="AK41" s="243">
        <f>(SUM($P$31,$P$51)-SUM($AU$17:AU40))*$O$109</f>
        <v>0</v>
      </c>
      <c r="AL41" s="245"/>
      <c r="AM41" s="221">
        <f t="shared" si="11"/>
        <v>0</v>
      </c>
      <c r="AN41" s="161"/>
      <c r="AO41" s="219">
        <f t="shared" si="12"/>
        <v>0</v>
      </c>
      <c r="AP41" s="220">
        <f t="shared" si="13"/>
        <v>0</v>
      </c>
      <c r="AQ41" s="220">
        <f t="shared" si="14"/>
        <v>0</v>
      </c>
      <c r="AR41" s="222">
        <f t="shared" si="15"/>
        <v>0</v>
      </c>
      <c r="AS41" s="223">
        <f t="shared" si="16"/>
        <v>0</v>
      </c>
      <c r="AT41" s="222">
        <f t="shared" si="17"/>
        <v>0</v>
      </c>
      <c r="AU41" s="222">
        <f t="shared" si="18"/>
        <v>0</v>
      </c>
      <c r="AV41" s="222">
        <f t="shared" si="19"/>
        <v>0</v>
      </c>
      <c r="AW41" s="222">
        <f t="shared" si="20"/>
        <v>0</v>
      </c>
      <c r="AX41" s="222">
        <f t="shared" si="21"/>
        <v>0</v>
      </c>
      <c r="AY41" s="222">
        <f t="shared" si="22"/>
        <v>0</v>
      </c>
      <c r="AZ41" s="222">
        <f>IF(AND(SUM($AQ$16:AQ40)&gt;0,SUM($AZ$16:AZ40)&lt;$P$62,$W41&gt;=$P$65),$P$64,0)</f>
        <v>18.586956521739129</v>
      </c>
      <c r="BA41" s="222">
        <f>IF(SUM($AQ$17:$AQ40)&gt;0,($P$62-SUM($AZ$17:$AZ40))*$F$65,0)</f>
        <v>1.2546195652173917</v>
      </c>
      <c r="BB41" s="223">
        <f t="shared" si="23"/>
        <v>0</v>
      </c>
      <c r="BC41" s="220">
        <f t="shared" si="24"/>
        <v>0</v>
      </c>
      <c r="BD41" s="221">
        <f t="shared" si="25"/>
        <v>0</v>
      </c>
      <c r="BE41" s="48"/>
      <c r="BF41" s="46">
        <f t="shared" si="43"/>
        <v>0.42662462244413041</v>
      </c>
      <c r="BH41" s="219">
        <f t="shared" si="26"/>
        <v>0</v>
      </c>
      <c r="BI41" s="219">
        <f t="shared" si="27"/>
        <v>0</v>
      </c>
      <c r="BJ41" s="220">
        <f t="shared" si="28"/>
        <v>0</v>
      </c>
      <c r="BK41" s="220">
        <f t="shared" si="29"/>
        <v>0</v>
      </c>
      <c r="BL41" s="220">
        <f t="shared" si="30"/>
        <v>0</v>
      </c>
      <c r="BM41" s="220">
        <f t="shared" si="31"/>
        <v>0</v>
      </c>
      <c r="BN41" s="221">
        <f t="shared" si="32"/>
        <v>0</v>
      </c>
      <c r="BO41" s="220">
        <f t="shared" si="33"/>
        <v>0</v>
      </c>
      <c r="BP41" s="220">
        <f t="shared" si="34"/>
        <v>0</v>
      </c>
      <c r="BQ41" s="220">
        <f t="shared" si="35"/>
        <v>0</v>
      </c>
      <c r="BR41" s="220">
        <f t="shared" si="36"/>
        <v>0</v>
      </c>
      <c r="BS41" s="220">
        <f t="shared" si="37"/>
        <v>0</v>
      </c>
      <c r="BT41" s="220">
        <f t="shared" si="38"/>
        <v>0</v>
      </c>
      <c r="BU41" s="221">
        <f t="shared" si="39"/>
        <v>0</v>
      </c>
      <c r="BV41" s="221">
        <f t="shared" si="40"/>
        <v>0</v>
      </c>
      <c r="BW41" s="163"/>
      <c r="BX41" s="155">
        <f t="shared" si="41"/>
        <v>0</v>
      </c>
      <c r="BY41" s="273">
        <f t="shared" si="44"/>
        <v>0</v>
      </c>
      <c r="CA41"/>
    </row>
    <row r="42" spans="2:79" ht="15.75" customHeight="1">
      <c r="C42" s="2" t="s">
        <v>125</v>
      </c>
      <c r="D42" t="s">
        <v>7</v>
      </c>
      <c r="F42" s="277">
        <f>事業費用概算!G28</f>
        <v>50</v>
      </c>
      <c r="K42" t="s">
        <v>126</v>
      </c>
      <c r="N42" s="19" t="s">
        <v>7</v>
      </c>
      <c r="O42" s="52"/>
      <c r="P42" s="68">
        <f>F56</f>
        <v>0</v>
      </c>
      <c r="Q42" t="s">
        <v>127</v>
      </c>
      <c r="V42" s="57">
        <f t="shared" si="42"/>
        <v>54878</v>
      </c>
      <c r="W42" s="26">
        <v>26</v>
      </c>
      <c r="X42" s="269" t="str">
        <f t="shared" si="0"/>
        <v>-</v>
      </c>
      <c r="Y42" s="231">
        <f t="shared" si="1"/>
        <v>0</v>
      </c>
      <c r="Z42" s="222">
        <f t="shared" si="2"/>
        <v>0</v>
      </c>
      <c r="AA42" s="222">
        <f t="shared" si="3"/>
        <v>0</v>
      </c>
      <c r="AB42" s="222">
        <f t="shared" si="4"/>
        <v>0</v>
      </c>
      <c r="AC42" s="223">
        <f t="shared" si="5"/>
        <v>0</v>
      </c>
      <c r="AD42" s="231">
        <f t="shared" si="6"/>
        <v>0</v>
      </c>
      <c r="AE42" s="222">
        <f t="shared" si="7"/>
        <v>0</v>
      </c>
      <c r="AF42" s="222">
        <f t="shared" si="8"/>
        <v>0</v>
      </c>
      <c r="AG42" s="222">
        <f>IF(AND(SUM($AA$16:AA41)&gt;0,SUM($AG$16:AG41)&lt;$O$62,$W42&gt;=$O$65),$O$64,0)</f>
        <v>65.054347826086953</v>
      </c>
      <c r="AH42" s="220">
        <f>IF(SUM($AA$17:$AA41)&gt;0,($O$62-SUM($AG$17:$AG41))*$E$65,0)</f>
        <v>3.5129347826086916</v>
      </c>
      <c r="AI42" s="223">
        <f t="shared" si="9"/>
        <v>0</v>
      </c>
      <c r="AJ42" s="220">
        <f t="shared" si="10"/>
        <v>0</v>
      </c>
      <c r="AK42" s="243">
        <f>(SUM($P$31,$P$51)-SUM($AU$17:AU41))*$O$109</f>
        <v>0</v>
      </c>
      <c r="AL42" s="245"/>
      <c r="AM42" s="221">
        <f t="shared" si="11"/>
        <v>0</v>
      </c>
      <c r="AN42" s="161"/>
      <c r="AO42" s="219">
        <f t="shared" si="12"/>
        <v>0</v>
      </c>
      <c r="AP42" s="220">
        <f t="shared" si="13"/>
        <v>0</v>
      </c>
      <c r="AQ42" s="220">
        <f t="shared" si="14"/>
        <v>0</v>
      </c>
      <c r="AR42" s="222">
        <f t="shared" si="15"/>
        <v>0</v>
      </c>
      <c r="AS42" s="223">
        <f t="shared" si="16"/>
        <v>0</v>
      </c>
      <c r="AT42" s="222">
        <f t="shared" si="17"/>
        <v>0</v>
      </c>
      <c r="AU42" s="222">
        <f t="shared" si="18"/>
        <v>0</v>
      </c>
      <c r="AV42" s="222">
        <f t="shared" si="19"/>
        <v>0</v>
      </c>
      <c r="AW42" s="222">
        <f t="shared" si="20"/>
        <v>0</v>
      </c>
      <c r="AX42" s="222">
        <f t="shared" si="21"/>
        <v>0</v>
      </c>
      <c r="AY42" s="222">
        <f t="shared" si="22"/>
        <v>0</v>
      </c>
      <c r="AZ42" s="222">
        <f>IF(AND(SUM($AQ$16:AQ41)&gt;0,SUM($AZ$16:AZ41)&lt;$P$62,$W42&gt;=$P$65),$P$64,0)</f>
        <v>18.586956521739129</v>
      </c>
      <c r="BA42" s="222">
        <f>IF(SUM($AQ$17:$AQ41)&gt;0,($P$62-SUM($AZ$17:$AZ41))*$F$65,0)</f>
        <v>1.0036956521739135</v>
      </c>
      <c r="BB42" s="223">
        <f t="shared" si="23"/>
        <v>0</v>
      </c>
      <c r="BC42" s="220">
        <f t="shared" si="24"/>
        <v>0</v>
      </c>
      <c r="BD42" s="221">
        <f t="shared" si="25"/>
        <v>0</v>
      </c>
      <c r="BE42" s="48"/>
      <c r="BF42" s="46">
        <f t="shared" si="43"/>
        <v>0.41233267700209164</v>
      </c>
      <c r="BH42" s="219">
        <f t="shared" si="26"/>
        <v>0</v>
      </c>
      <c r="BI42" s="219">
        <f t="shared" si="27"/>
        <v>0</v>
      </c>
      <c r="BJ42" s="220">
        <f t="shared" si="28"/>
        <v>0</v>
      </c>
      <c r="BK42" s="220">
        <f t="shared" si="29"/>
        <v>0</v>
      </c>
      <c r="BL42" s="220">
        <f t="shared" si="30"/>
        <v>0</v>
      </c>
      <c r="BM42" s="220">
        <f t="shared" si="31"/>
        <v>0</v>
      </c>
      <c r="BN42" s="221">
        <f t="shared" si="32"/>
        <v>0</v>
      </c>
      <c r="BO42" s="220">
        <f t="shared" si="33"/>
        <v>0</v>
      </c>
      <c r="BP42" s="220">
        <f t="shared" si="34"/>
        <v>0</v>
      </c>
      <c r="BQ42" s="220">
        <f t="shared" si="35"/>
        <v>0</v>
      </c>
      <c r="BR42" s="220">
        <f t="shared" si="36"/>
        <v>0</v>
      </c>
      <c r="BS42" s="220">
        <f t="shared" si="37"/>
        <v>0</v>
      </c>
      <c r="BT42" s="220">
        <f t="shared" si="38"/>
        <v>0</v>
      </c>
      <c r="BU42" s="221">
        <f t="shared" si="39"/>
        <v>0</v>
      </c>
      <c r="BV42" s="221">
        <f t="shared" si="40"/>
        <v>0</v>
      </c>
      <c r="BW42" s="163"/>
      <c r="BX42" s="155">
        <f t="shared" si="41"/>
        <v>0</v>
      </c>
      <c r="BY42" s="273">
        <f t="shared" si="44"/>
        <v>0</v>
      </c>
      <c r="CA42"/>
    </row>
    <row r="43" spans="2:79" ht="15.75" customHeight="1">
      <c r="B43" t="s">
        <v>233</v>
      </c>
      <c r="E43" s="19" t="s">
        <v>2</v>
      </c>
      <c r="F43" s="19" t="s">
        <v>50</v>
      </c>
      <c r="K43" t="s">
        <v>129</v>
      </c>
      <c r="N43" s="19" t="s">
        <v>7</v>
      </c>
      <c r="O43" s="68">
        <f>O41-O42</f>
        <v>50</v>
      </c>
      <c r="P43" s="68">
        <f>P41-P42</f>
        <v>47.5</v>
      </c>
      <c r="V43" s="57">
        <f t="shared" si="42"/>
        <v>55243</v>
      </c>
      <c r="W43" s="26">
        <v>27</v>
      </c>
      <c r="X43" s="269" t="str">
        <f t="shared" si="0"/>
        <v>-</v>
      </c>
      <c r="Y43" s="231">
        <f t="shared" si="1"/>
        <v>0</v>
      </c>
      <c r="Z43" s="222">
        <f t="shared" si="2"/>
        <v>0</v>
      </c>
      <c r="AA43" s="222">
        <f t="shared" si="3"/>
        <v>0</v>
      </c>
      <c r="AB43" s="222">
        <f t="shared" si="4"/>
        <v>0</v>
      </c>
      <c r="AC43" s="223">
        <f t="shared" si="5"/>
        <v>0</v>
      </c>
      <c r="AD43" s="231">
        <f t="shared" si="6"/>
        <v>0</v>
      </c>
      <c r="AE43" s="222">
        <f t="shared" si="7"/>
        <v>0</v>
      </c>
      <c r="AF43" s="222">
        <f t="shared" si="8"/>
        <v>0</v>
      </c>
      <c r="AG43" s="222">
        <f>IF(AND(SUM($AA$16:AA42)&gt;0,SUM($AG$16:AG42)&lt;$O$62,$W43&gt;=$O$65),$O$64,0)</f>
        <v>65.054347826086953</v>
      </c>
      <c r="AH43" s="220">
        <f>IF(SUM($AA$17:$AA42)&gt;0,($O$62-SUM($AG$17:$AG42))*$E$65,0)</f>
        <v>2.6347010869565173</v>
      </c>
      <c r="AI43" s="223">
        <f t="shared" si="9"/>
        <v>0</v>
      </c>
      <c r="AJ43" s="220">
        <f t="shared" si="10"/>
        <v>0</v>
      </c>
      <c r="AK43" s="243">
        <f>(SUM($P$31,$P$51)-SUM($AU$17:AU42))*$O$109</f>
        <v>0</v>
      </c>
      <c r="AL43" s="245"/>
      <c r="AM43" s="221">
        <f t="shared" si="11"/>
        <v>0</v>
      </c>
      <c r="AN43" s="161"/>
      <c r="AO43" s="219">
        <f t="shared" si="12"/>
        <v>0</v>
      </c>
      <c r="AP43" s="220">
        <f t="shared" si="13"/>
        <v>0</v>
      </c>
      <c r="AQ43" s="220">
        <f t="shared" si="14"/>
        <v>0</v>
      </c>
      <c r="AR43" s="222">
        <f t="shared" si="15"/>
        <v>0</v>
      </c>
      <c r="AS43" s="223">
        <f t="shared" si="16"/>
        <v>0</v>
      </c>
      <c r="AT43" s="222">
        <f t="shared" si="17"/>
        <v>0</v>
      </c>
      <c r="AU43" s="222">
        <f t="shared" si="18"/>
        <v>0</v>
      </c>
      <c r="AV43" s="222">
        <f t="shared" si="19"/>
        <v>0</v>
      </c>
      <c r="AW43" s="222">
        <f t="shared" si="20"/>
        <v>0</v>
      </c>
      <c r="AX43" s="222">
        <f t="shared" si="21"/>
        <v>0</v>
      </c>
      <c r="AY43" s="222">
        <f t="shared" si="22"/>
        <v>0</v>
      </c>
      <c r="AZ43" s="222">
        <f>IF(AND(SUM($AQ$16:AQ42)&gt;0,SUM($AZ$16:AZ42)&lt;$P$62,$W43&gt;=$P$65),$P$64,0)</f>
        <v>18.586956521739129</v>
      </c>
      <c r="BA43" s="222">
        <f>IF(SUM($AQ$17:$AQ42)&gt;0,($P$62-SUM($AZ$17:$AZ42))*$F$65,0)</f>
        <v>0.75277173913043538</v>
      </c>
      <c r="BB43" s="223">
        <f t="shared" si="23"/>
        <v>0</v>
      </c>
      <c r="BC43" s="220">
        <f t="shared" si="24"/>
        <v>0</v>
      </c>
      <c r="BD43" s="221">
        <f t="shared" si="25"/>
        <v>0</v>
      </c>
      <c r="BE43" s="48"/>
      <c r="BF43" s="46">
        <f t="shared" si="43"/>
        <v>0.39851951242213257</v>
      </c>
      <c r="BH43" s="219">
        <f t="shared" si="26"/>
        <v>0</v>
      </c>
      <c r="BI43" s="219">
        <f t="shared" si="27"/>
        <v>0</v>
      </c>
      <c r="BJ43" s="220">
        <f t="shared" si="28"/>
        <v>0</v>
      </c>
      <c r="BK43" s="220">
        <f t="shared" si="29"/>
        <v>0</v>
      </c>
      <c r="BL43" s="220">
        <f t="shared" si="30"/>
        <v>0</v>
      </c>
      <c r="BM43" s="220">
        <f t="shared" si="31"/>
        <v>0</v>
      </c>
      <c r="BN43" s="221">
        <f t="shared" si="32"/>
        <v>0</v>
      </c>
      <c r="BO43" s="220">
        <f t="shared" si="33"/>
        <v>0</v>
      </c>
      <c r="BP43" s="220">
        <f t="shared" si="34"/>
        <v>0</v>
      </c>
      <c r="BQ43" s="220">
        <f t="shared" si="35"/>
        <v>0</v>
      </c>
      <c r="BR43" s="220">
        <f t="shared" si="36"/>
        <v>0</v>
      </c>
      <c r="BS43" s="220">
        <f t="shared" si="37"/>
        <v>0</v>
      </c>
      <c r="BT43" s="220">
        <f t="shared" si="38"/>
        <v>0</v>
      </c>
      <c r="BU43" s="221">
        <f t="shared" si="39"/>
        <v>0</v>
      </c>
      <c r="BV43" s="221">
        <f t="shared" si="40"/>
        <v>0</v>
      </c>
      <c r="BW43" s="163"/>
      <c r="BX43" s="155">
        <f t="shared" si="41"/>
        <v>0</v>
      </c>
      <c r="BY43" s="273">
        <f t="shared" si="44"/>
        <v>0</v>
      </c>
      <c r="CA43"/>
    </row>
    <row r="44" spans="2:79" ht="15.75" customHeight="1">
      <c r="C44" s="265" t="s">
        <v>130</v>
      </c>
      <c r="D44" t="s">
        <v>7</v>
      </c>
      <c r="E44" s="266"/>
      <c r="F44" s="187">
        <v>25</v>
      </c>
      <c r="K44" t="s">
        <v>131</v>
      </c>
      <c r="N44" s="19" t="s">
        <v>7</v>
      </c>
      <c r="O44" s="21">
        <f>O41*$F$17</f>
        <v>1000</v>
      </c>
      <c r="P44" s="21">
        <f>P43*$F$17</f>
        <v>950</v>
      </c>
      <c r="V44" s="57">
        <f t="shared" si="42"/>
        <v>55609</v>
      </c>
      <c r="W44" s="26">
        <v>28</v>
      </c>
      <c r="X44" s="269" t="str">
        <f t="shared" si="0"/>
        <v>-</v>
      </c>
      <c r="Y44" s="231">
        <f t="shared" si="1"/>
        <v>0</v>
      </c>
      <c r="Z44" s="222">
        <f t="shared" si="2"/>
        <v>0</v>
      </c>
      <c r="AA44" s="222">
        <f t="shared" si="3"/>
        <v>0</v>
      </c>
      <c r="AB44" s="222">
        <f t="shared" si="4"/>
        <v>0</v>
      </c>
      <c r="AC44" s="223">
        <f t="shared" si="5"/>
        <v>0</v>
      </c>
      <c r="AD44" s="231">
        <f t="shared" si="6"/>
        <v>0</v>
      </c>
      <c r="AE44" s="222">
        <f t="shared" si="7"/>
        <v>0</v>
      </c>
      <c r="AF44" s="222">
        <f t="shared" si="8"/>
        <v>0</v>
      </c>
      <c r="AG44" s="222">
        <f>IF(AND(SUM($AA$16:AA43)&gt;0,SUM($AG$16:AG43)&lt;$O$62,$W44&gt;=$O$65),$O$64,0)</f>
        <v>65.054347826086953</v>
      </c>
      <c r="AH44" s="220">
        <f>IF(SUM($AA$17:$AA43)&gt;0,($O$62-SUM($AG$17:$AG43))*$E$65,0)</f>
        <v>1.7564673913043427</v>
      </c>
      <c r="AI44" s="223">
        <f t="shared" si="9"/>
        <v>0</v>
      </c>
      <c r="AJ44" s="220">
        <f t="shared" si="10"/>
        <v>0</v>
      </c>
      <c r="AK44" s="243">
        <f>(SUM($P$31,$P$51)-SUM($AU$17:AU43))*$O$109</f>
        <v>0</v>
      </c>
      <c r="AL44" s="245"/>
      <c r="AM44" s="221">
        <f t="shared" si="11"/>
        <v>0</v>
      </c>
      <c r="AN44" s="161"/>
      <c r="AO44" s="219">
        <f t="shared" si="12"/>
        <v>0</v>
      </c>
      <c r="AP44" s="220">
        <f t="shared" si="13"/>
        <v>0</v>
      </c>
      <c r="AQ44" s="220">
        <f t="shared" si="14"/>
        <v>0</v>
      </c>
      <c r="AR44" s="222">
        <f t="shared" si="15"/>
        <v>0</v>
      </c>
      <c r="AS44" s="223">
        <f t="shared" si="16"/>
        <v>0</v>
      </c>
      <c r="AT44" s="222">
        <f t="shared" si="17"/>
        <v>0</v>
      </c>
      <c r="AU44" s="222">
        <f t="shared" si="18"/>
        <v>0</v>
      </c>
      <c r="AV44" s="222">
        <f t="shared" si="19"/>
        <v>0</v>
      </c>
      <c r="AW44" s="222">
        <f t="shared" si="20"/>
        <v>0</v>
      </c>
      <c r="AX44" s="222">
        <f t="shared" si="21"/>
        <v>0</v>
      </c>
      <c r="AY44" s="222">
        <f t="shared" si="22"/>
        <v>0</v>
      </c>
      <c r="AZ44" s="222">
        <f>IF(AND(SUM($AQ$16:AQ43)&gt;0,SUM($AZ$16:AZ43)&lt;$P$62,$W44&gt;=$P$65),$P$64,0)</f>
        <v>18.586956521739129</v>
      </c>
      <c r="BA44" s="222">
        <f>IF(SUM($AQ$17:$AQ43)&gt;0,($P$62-SUM($AZ$17:$AZ43))*$F$65,0)</f>
        <v>0.50184782608695711</v>
      </c>
      <c r="BB44" s="223">
        <f t="shared" si="23"/>
        <v>0</v>
      </c>
      <c r="BC44" s="220">
        <f t="shared" si="24"/>
        <v>0</v>
      </c>
      <c r="BD44" s="221">
        <f t="shared" si="25"/>
        <v>0</v>
      </c>
      <c r="BE44" s="48"/>
      <c r="BF44" s="46">
        <f t="shared" si="43"/>
        <v>0.38516908952226614</v>
      </c>
      <c r="BH44" s="219">
        <f t="shared" si="26"/>
        <v>0</v>
      </c>
      <c r="BI44" s="219">
        <f t="shared" si="27"/>
        <v>0</v>
      </c>
      <c r="BJ44" s="220">
        <f t="shared" si="28"/>
        <v>0</v>
      </c>
      <c r="BK44" s="220">
        <f t="shared" si="29"/>
        <v>0</v>
      </c>
      <c r="BL44" s="220">
        <f t="shared" si="30"/>
        <v>0</v>
      </c>
      <c r="BM44" s="220">
        <f t="shared" si="31"/>
        <v>0</v>
      </c>
      <c r="BN44" s="221">
        <f t="shared" si="32"/>
        <v>0</v>
      </c>
      <c r="BO44" s="220">
        <f t="shared" si="33"/>
        <v>0</v>
      </c>
      <c r="BP44" s="220">
        <f t="shared" si="34"/>
        <v>0</v>
      </c>
      <c r="BQ44" s="220">
        <f t="shared" si="35"/>
        <v>0</v>
      </c>
      <c r="BR44" s="220">
        <f t="shared" si="36"/>
        <v>0</v>
      </c>
      <c r="BS44" s="220">
        <f t="shared" si="37"/>
        <v>0</v>
      </c>
      <c r="BT44" s="220">
        <f t="shared" si="38"/>
        <v>0</v>
      </c>
      <c r="BU44" s="221">
        <f t="shared" si="39"/>
        <v>0</v>
      </c>
      <c r="BV44" s="221">
        <f t="shared" si="40"/>
        <v>0</v>
      </c>
      <c r="BW44" s="163"/>
      <c r="BX44" s="155">
        <f t="shared" si="41"/>
        <v>0</v>
      </c>
      <c r="BY44" s="273">
        <f t="shared" si="44"/>
        <v>0</v>
      </c>
      <c r="CA44"/>
    </row>
    <row r="45" spans="2:79" ht="15.75" customHeight="1">
      <c r="C45" t="s">
        <v>132</v>
      </c>
      <c r="D45" t="s">
        <v>7</v>
      </c>
      <c r="E45" s="187">
        <v>10</v>
      </c>
      <c r="F45" s="187">
        <v>6</v>
      </c>
      <c r="V45" s="57">
        <f t="shared" si="42"/>
        <v>55974</v>
      </c>
      <c r="W45" s="26">
        <v>29</v>
      </c>
      <c r="X45" s="269" t="str">
        <f t="shared" si="0"/>
        <v>-</v>
      </c>
      <c r="Y45" s="231">
        <f t="shared" si="1"/>
        <v>0</v>
      </c>
      <c r="Z45" s="222">
        <f t="shared" si="2"/>
        <v>0</v>
      </c>
      <c r="AA45" s="222">
        <f t="shared" si="3"/>
        <v>0</v>
      </c>
      <c r="AB45" s="222">
        <f t="shared" si="4"/>
        <v>0</v>
      </c>
      <c r="AC45" s="223">
        <f t="shared" si="5"/>
        <v>0</v>
      </c>
      <c r="AD45" s="231">
        <f t="shared" si="6"/>
        <v>0</v>
      </c>
      <c r="AE45" s="222">
        <f t="shared" si="7"/>
        <v>0</v>
      </c>
      <c r="AF45" s="222">
        <f t="shared" si="8"/>
        <v>0</v>
      </c>
      <c r="AG45" s="222">
        <f>IF(AND(SUM($AA$16:AA44)&gt;0,SUM($AG$16:AG44)&lt;$O$62,$W45&gt;=$O$65),$O$64,0)</f>
        <v>65.054347826086953</v>
      </c>
      <c r="AH45" s="220">
        <f>IF(SUM($AA$17:$AA44)&gt;0,($O$62-SUM($AG$17:$AG44))*$E$65,0)</f>
        <v>0.87823369565216824</v>
      </c>
      <c r="AI45" s="223">
        <f t="shared" si="9"/>
        <v>0</v>
      </c>
      <c r="AJ45" s="220">
        <f t="shared" si="10"/>
        <v>0</v>
      </c>
      <c r="AK45" s="243">
        <f>(SUM($P$31,$P$51)-SUM($AU$17:AU44))*$O$109</f>
        <v>0</v>
      </c>
      <c r="AL45" s="245"/>
      <c r="AM45" s="221">
        <f t="shared" si="11"/>
        <v>0</v>
      </c>
      <c r="AN45" s="161"/>
      <c r="AO45" s="219">
        <f t="shared" si="12"/>
        <v>0</v>
      </c>
      <c r="AP45" s="220">
        <f t="shared" si="13"/>
        <v>0</v>
      </c>
      <c r="AQ45" s="220">
        <f t="shared" si="14"/>
        <v>0</v>
      </c>
      <c r="AR45" s="222">
        <f t="shared" si="15"/>
        <v>0</v>
      </c>
      <c r="AS45" s="223">
        <f t="shared" si="16"/>
        <v>0</v>
      </c>
      <c r="AT45" s="222">
        <f t="shared" si="17"/>
        <v>0</v>
      </c>
      <c r="AU45" s="222">
        <f t="shared" si="18"/>
        <v>0</v>
      </c>
      <c r="AV45" s="222">
        <f t="shared" si="19"/>
        <v>0</v>
      </c>
      <c r="AW45" s="222">
        <f t="shared" si="20"/>
        <v>0</v>
      </c>
      <c r="AX45" s="222">
        <f t="shared" si="21"/>
        <v>0</v>
      </c>
      <c r="AY45" s="222">
        <f t="shared" si="22"/>
        <v>0</v>
      </c>
      <c r="AZ45" s="222">
        <f>IF(AND(SUM($AQ$16:AQ44)&gt;0,SUM($AZ$16:AZ44)&lt;$P$62,$W45&gt;=$P$65),$P$64,0)</f>
        <v>18.586956521739129</v>
      </c>
      <c r="BA45" s="222">
        <f>IF(SUM($AQ$17:$AQ44)&gt;0,($P$62-SUM($AZ$17:$AZ44))*$F$65,0)</f>
        <v>0.25092391304347894</v>
      </c>
      <c r="BB45" s="223">
        <f t="shared" si="23"/>
        <v>0</v>
      </c>
      <c r="BC45" s="220">
        <f t="shared" si="24"/>
        <v>0</v>
      </c>
      <c r="BD45" s="221">
        <f t="shared" si="25"/>
        <v>0</v>
      </c>
      <c r="BE45" s="48"/>
      <c r="BF45" s="46">
        <f t="shared" si="43"/>
        <v>0.37226590643387591</v>
      </c>
      <c r="BH45" s="219">
        <f t="shared" si="26"/>
        <v>0</v>
      </c>
      <c r="BI45" s="219">
        <f t="shared" si="27"/>
        <v>0</v>
      </c>
      <c r="BJ45" s="220">
        <f t="shared" si="28"/>
        <v>0</v>
      </c>
      <c r="BK45" s="220">
        <f t="shared" si="29"/>
        <v>0</v>
      </c>
      <c r="BL45" s="220">
        <f t="shared" si="30"/>
        <v>0</v>
      </c>
      <c r="BM45" s="220">
        <f t="shared" si="31"/>
        <v>0</v>
      </c>
      <c r="BN45" s="221">
        <f t="shared" si="32"/>
        <v>0</v>
      </c>
      <c r="BO45" s="220">
        <f t="shared" si="33"/>
        <v>0</v>
      </c>
      <c r="BP45" s="220">
        <f t="shared" si="34"/>
        <v>0</v>
      </c>
      <c r="BQ45" s="220">
        <f t="shared" si="35"/>
        <v>0</v>
      </c>
      <c r="BR45" s="220">
        <f t="shared" si="36"/>
        <v>0</v>
      </c>
      <c r="BS45" s="220">
        <f t="shared" si="37"/>
        <v>0</v>
      </c>
      <c r="BT45" s="220">
        <f t="shared" si="38"/>
        <v>0</v>
      </c>
      <c r="BU45" s="221">
        <f t="shared" si="39"/>
        <v>0</v>
      </c>
      <c r="BV45" s="221">
        <f t="shared" si="40"/>
        <v>0</v>
      </c>
      <c r="BW45" s="163"/>
      <c r="BX45" s="155">
        <f t="shared" si="41"/>
        <v>0</v>
      </c>
      <c r="BY45" s="273">
        <f t="shared" si="44"/>
        <v>0</v>
      </c>
      <c r="CA45"/>
    </row>
    <row r="46" spans="2:79" ht="15.75" customHeight="1">
      <c r="B46" t="s">
        <v>134</v>
      </c>
      <c r="J46" s="4" t="s">
        <v>134</v>
      </c>
      <c r="V46" s="57">
        <f t="shared" si="42"/>
        <v>56339</v>
      </c>
      <c r="W46" s="26">
        <v>30</v>
      </c>
      <c r="X46" s="269" t="str">
        <f t="shared" si="0"/>
        <v>-</v>
      </c>
      <c r="Y46" s="231">
        <f t="shared" si="1"/>
        <v>0</v>
      </c>
      <c r="Z46" s="222">
        <f t="shared" si="2"/>
        <v>0</v>
      </c>
      <c r="AA46" s="222">
        <f t="shared" si="3"/>
        <v>0</v>
      </c>
      <c r="AB46" s="222">
        <f t="shared" si="4"/>
        <v>0</v>
      </c>
      <c r="AC46" s="223">
        <f t="shared" si="5"/>
        <v>0</v>
      </c>
      <c r="AD46" s="231">
        <f t="shared" si="6"/>
        <v>0</v>
      </c>
      <c r="AE46" s="222">
        <f t="shared" si="7"/>
        <v>0</v>
      </c>
      <c r="AF46" s="222">
        <f t="shared" si="8"/>
        <v>0</v>
      </c>
      <c r="AG46" s="222">
        <f>IF(AND(SUM($AA$16:AA45)&gt;0,SUM($AG$16:AG45)&lt;$O$62,$W46&gt;=$O$65),$O$64,0)</f>
        <v>0</v>
      </c>
      <c r="AH46" s="220">
        <f>IF(SUM($AA$17:$AA45)&gt;0,($O$62-SUM($AG$17:$AG45))*$E$65,0)</f>
        <v>-6.1390892369672655E-15</v>
      </c>
      <c r="AI46" s="223">
        <f t="shared" si="9"/>
        <v>0</v>
      </c>
      <c r="AJ46" s="220">
        <f t="shared" si="10"/>
        <v>0</v>
      </c>
      <c r="AK46" s="243">
        <f>(SUM($P$31,$P$51)-SUM($AU$17:AU45))*$O$109</f>
        <v>0</v>
      </c>
      <c r="AL46" s="245"/>
      <c r="AM46" s="221">
        <f t="shared" si="11"/>
        <v>0</v>
      </c>
      <c r="AN46" s="161"/>
      <c r="AO46" s="219">
        <f t="shared" si="12"/>
        <v>0</v>
      </c>
      <c r="AP46" s="220">
        <f t="shared" si="13"/>
        <v>0</v>
      </c>
      <c r="AQ46" s="220">
        <f t="shared" si="14"/>
        <v>0</v>
      </c>
      <c r="AR46" s="222">
        <f t="shared" si="15"/>
        <v>0</v>
      </c>
      <c r="AS46" s="223">
        <f t="shared" si="16"/>
        <v>0</v>
      </c>
      <c r="AT46" s="222">
        <f t="shared" si="17"/>
        <v>0</v>
      </c>
      <c r="AU46" s="222">
        <f t="shared" si="18"/>
        <v>0</v>
      </c>
      <c r="AV46" s="222">
        <f t="shared" si="19"/>
        <v>0</v>
      </c>
      <c r="AW46" s="222">
        <f t="shared" si="20"/>
        <v>0</v>
      </c>
      <c r="AX46" s="222">
        <f t="shared" si="21"/>
        <v>0</v>
      </c>
      <c r="AY46" s="222">
        <f t="shared" si="22"/>
        <v>0</v>
      </c>
      <c r="AZ46" s="222">
        <f>IF(AND(SUM($AQ$16:AQ45)&gt;0,SUM($AZ$16:AZ45)&lt;$P$62,$W46&gt;=$P$65),$P$64,0)</f>
        <v>0</v>
      </c>
      <c r="BA46" s="222">
        <f>IF(SUM($AQ$17:$AQ45)&gt;0,($P$62-SUM($AZ$17:$AZ45))*$F$65,0)</f>
        <v>7.6738615462090819E-16</v>
      </c>
      <c r="BB46" s="223">
        <f t="shared" si="23"/>
        <v>0</v>
      </c>
      <c r="BC46" s="220">
        <f t="shared" si="24"/>
        <v>0</v>
      </c>
      <c r="BD46" s="221">
        <f t="shared" si="25"/>
        <v>0</v>
      </c>
      <c r="BE46" s="48"/>
      <c r="BF46" s="47">
        <f t="shared" si="43"/>
        <v>0.3597949806016924</v>
      </c>
      <c r="BH46" s="219">
        <f t="shared" si="26"/>
        <v>0</v>
      </c>
      <c r="BI46" s="219">
        <f t="shared" si="27"/>
        <v>0</v>
      </c>
      <c r="BJ46" s="220">
        <f t="shared" si="28"/>
        <v>0</v>
      </c>
      <c r="BK46" s="220">
        <f t="shared" si="29"/>
        <v>0</v>
      </c>
      <c r="BL46" s="220">
        <f t="shared" si="30"/>
        <v>0</v>
      </c>
      <c r="BM46" s="222">
        <f t="shared" si="31"/>
        <v>0</v>
      </c>
      <c r="BN46" s="223">
        <f t="shared" si="32"/>
        <v>0</v>
      </c>
      <c r="BO46" s="220">
        <f t="shared" si="33"/>
        <v>0</v>
      </c>
      <c r="BP46" s="220">
        <f t="shared" si="34"/>
        <v>0</v>
      </c>
      <c r="BQ46" s="220">
        <f t="shared" si="35"/>
        <v>0</v>
      </c>
      <c r="BR46" s="220">
        <f t="shared" si="36"/>
        <v>0</v>
      </c>
      <c r="BS46" s="220">
        <f t="shared" si="37"/>
        <v>0</v>
      </c>
      <c r="BT46" s="220">
        <f t="shared" si="38"/>
        <v>0</v>
      </c>
      <c r="BU46" s="223">
        <f t="shared" si="39"/>
        <v>0</v>
      </c>
      <c r="BV46" s="223">
        <f t="shared" si="40"/>
        <v>0</v>
      </c>
      <c r="BW46" s="163"/>
      <c r="BX46" s="155">
        <f t="shared" si="41"/>
        <v>0</v>
      </c>
      <c r="BY46" s="273">
        <f t="shared" si="44"/>
        <v>0</v>
      </c>
      <c r="CA46"/>
    </row>
    <row r="47" spans="2:79" ht="15.75" customHeight="1">
      <c r="F47" s="72">
        <v>1</v>
      </c>
      <c r="G47">
        <v>0</v>
      </c>
      <c r="H47" t="s">
        <v>135</v>
      </c>
      <c r="K47" t="s">
        <v>136</v>
      </c>
      <c r="O47" t="s">
        <v>2</v>
      </c>
      <c r="P47" t="s">
        <v>50</v>
      </c>
      <c r="V47" s="57">
        <f t="shared" si="42"/>
        <v>56704</v>
      </c>
      <c r="W47" s="26">
        <v>31</v>
      </c>
      <c r="X47" s="269" t="str">
        <f t="shared" si="0"/>
        <v>-</v>
      </c>
      <c r="Y47" s="231">
        <f t="shared" si="1"/>
        <v>0</v>
      </c>
      <c r="Z47" s="222">
        <f t="shared" si="2"/>
        <v>0</v>
      </c>
      <c r="AA47" s="222">
        <f t="shared" si="3"/>
        <v>0</v>
      </c>
      <c r="AB47" s="222">
        <f t="shared" si="4"/>
        <v>0</v>
      </c>
      <c r="AC47" s="223">
        <f t="shared" si="5"/>
        <v>0</v>
      </c>
      <c r="AD47" s="231">
        <f t="shared" si="6"/>
        <v>0</v>
      </c>
      <c r="AE47" s="222">
        <f t="shared" si="7"/>
        <v>0</v>
      </c>
      <c r="AF47" s="222">
        <f t="shared" si="8"/>
        <v>0</v>
      </c>
      <c r="AG47" s="222">
        <f>IF(AND(SUM($AA$16:AA46)&gt;0,SUM($AG$16:AG46)&lt;$O$62,$W47&gt;=$O$65),$O$64,0)</f>
        <v>0</v>
      </c>
      <c r="AH47" s="220">
        <f>IF(SUM($AA$17:$AA46)&gt;0,($O$62-SUM($AG$17:$AG46))*$E$65,0)</f>
        <v>-6.1390892369672655E-15</v>
      </c>
      <c r="AI47" s="223">
        <f t="shared" si="9"/>
        <v>0</v>
      </c>
      <c r="AJ47" s="220">
        <f t="shared" si="10"/>
        <v>0</v>
      </c>
      <c r="AK47" s="243">
        <f>(SUM($P$31,$P$51)-SUM($AU$17:AU46))*$O$109</f>
        <v>0</v>
      </c>
      <c r="AL47" s="245"/>
      <c r="AM47" s="221">
        <f t="shared" si="11"/>
        <v>0</v>
      </c>
      <c r="AN47" s="161"/>
      <c r="AO47" s="219">
        <f t="shared" si="12"/>
        <v>0</v>
      </c>
      <c r="AP47" s="220">
        <f t="shared" si="13"/>
        <v>0</v>
      </c>
      <c r="AQ47" s="220">
        <f t="shared" si="14"/>
        <v>0</v>
      </c>
      <c r="AR47" s="222">
        <f t="shared" si="15"/>
        <v>0</v>
      </c>
      <c r="AS47" s="223">
        <f t="shared" si="16"/>
        <v>0</v>
      </c>
      <c r="AT47" s="222">
        <f t="shared" si="17"/>
        <v>0</v>
      </c>
      <c r="AU47" s="222">
        <f t="shared" si="18"/>
        <v>0</v>
      </c>
      <c r="AV47" s="222">
        <f t="shared" si="19"/>
        <v>0</v>
      </c>
      <c r="AW47" s="222">
        <f t="shared" si="20"/>
        <v>0</v>
      </c>
      <c r="AX47" s="222">
        <f t="shared" si="21"/>
        <v>0</v>
      </c>
      <c r="AY47" s="222">
        <f t="shared" si="22"/>
        <v>0</v>
      </c>
      <c r="AZ47" s="222">
        <f>IF(AND(SUM($AQ$16:AQ46)&gt;0,SUM($AZ$16:AZ46)&lt;$P$62,$W47&gt;=$P$65),$P$64,0)</f>
        <v>0</v>
      </c>
      <c r="BA47" s="222">
        <f>IF(SUM($AQ$17:$AQ46)&gt;0,($P$62-SUM($AZ$17:$AZ46))*$F$65,0)</f>
        <v>7.6738615462090819E-16</v>
      </c>
      <c r="BB47" s="223">
        <f t="shared" si="23"/>
        <v>0</v>
      </c>
      <c r="BC47" s="220">
        <f t="shared" si="24"/>
        <v>0</v>
      </c>
      <c r="BD47" s="221">
        <f t="shared" si="25"/>
        <v>0</v>
      </c>
      <c r="BE47" s="48"/>
      <c r="BF47" s="47">
        <f t="shared" si="43"/>
        <v>0.34774183138677062</v>
      </c>
      <c r="BH47" s="219">
        <f t="shared" si="26"/>
        <v>0</v>
      </c>
      <c r="BI47" s="219">
        <f t="shared" si="27"/>
        <v>0</v>
      </c>
      <c r="BJ47" s="220">
        <f t="shared" si="28"/>
        <v>0</v>
      </c>
      <c r="BK47" s="220">
        <f t="shared" si="29"/>
        <v>0</v>
      </c>
      <c r="BL47" s="220">
        <f t="shared" si="30"/>
        <v>0</v>
      </c>
      <c r="BM47" s="222">
        <f t="shared" si="31"/>
        <v>0</v>
      </c>
      <c r="BN47" s="223">
        <f t="shared" si="32"/>
        <v>0</v>
      </c>
      <c r="BO47" s="220">
        <f t="shared" si="33"/>
        <v>0</v>
      </c>
      <c r="BP47" s="220">
        <f t="shared" si="34"/>
        <v>0</v>
      </c>
      <c r="BQ47" s="220">
        <f t="shared" si="35"/>
        <v>0</v>
      </c>
      <c r="BR47" s="220">
        <f t="shared" si="36"/>
        <v>0</v>
      </c>
      <c r="BS47" s="220">
        <f t="shared" si="37"/>
        <v>0</v>
      </c>
      <c r="BT47" s="220">
        <f t="shared" si="38"/>
        <v>0</v>
      </c>
      <c r="BU47" s="223">
        <f t="shared" si="39"/>
        <v>0</v>
      </c>
      <c r="BV47" s="223">
        <f t="shared" si="40"/>
        <v>0</v>
      </c>
      <c r="BW47" s="163"/>
      <c r="BX47" s="155">
        <f t="shared" si="41"/>
        <v>0</v>
      </c>
      <c r="BY47" s="273">
        <f t="shared" si="44"/>
        <v>0</v>
      </c>
      <c r="CA47"/>
    </row>
    <row r="48" spans="2:79" ht="15.75" customHeight="1">
      <c r="G48">
        <v>1</v>
      </c>
      <c r="H48" t="s">
        <v>137</v>
      </c>
      <c r="I48" s="19"/>
      <c r="M48" t="s">
        <v>138</v>
      </c>
      <c r="N48" s="19" t="s">
        <v>7</v>
      </c>
      <c r="O48" s="52"/>
      <c r="P48" s="50">
        <f>F104</f>
        <v>100</v>
      </c>
      <c r="V48" s="57">
        <f t="shared" si="42"/>
        <v>57070</v>
      </c>
      <c r="W48" s="26">
        <v>32</v>
      </c>
      <c r="X48" s="269" t="str">
        <f t="shared" si="0"/>
        <v>-</v>
      </c>
      <c r="Y48" s="231">
        <f t="shared" si="1"/>
        <v>0</v>
      </c>
      <c r="Z48" s="222">
        <f t="shared" si="2"/>
        <v>0</v>
      </c>
      <c r="AA48" s="222">
        <f t="shared" si="3"/>
        <v>0</v>
      </c>
      <c r="AB48" s="222">
        <f t="shared" si="4"/>
        <v>0</v>
      </c>
      <c r="AC48" s="223">
        <f t="shared" si="5"/>
        <v>0</v>
      </c>
      <c r="AD48" s="231">
        <f t="shared" si="6"/>
        <v>0</v>
      </c>
      <c r="AE48" s="222">
        <f t="shared" si="7"/>
        <v>0</v>
      </c>
      <c r="AF48" s="222">
        <f t="shared" si="8"/>
        <v>0</v>
      </c>
      <c r="AG48" s="222">
        <f>IF(AND(SUM($AA$16:AA47)&gt;0,SUM($AG$16:AG47)&lt;$O$62,$W48&gt;=$O$65),$O$64,0)</f>
        <v>0</v>
      </c>
      <c r="AH48" s="220">
        <f>IF(SUM($AA$17:$AA47)&gt;0,($O$62-SUM($AG$17:$AG47))*$E$65,0)</f>
        <v>-6.1390892369672655E-15</v>
      </c>
      <c r="AI48" s="223">
        <f t="shared" si="9"/>
        <v>0</v>
      </c>
      <c r="AJ48" s="220">
        <f t="shared" si="10"/>
        <v>0</v>
      </c>
      <c r="AK48" s="243">
        <f>(SUM($P$31,$P$51)-SUM($AU$17:AU47))*$O$109</f>
        <v>0</v>
      </c>
      <c r="AL48" s="245"/>
      <c r="AM48" s="221">
        <f t="shared" si="11"/>
        <v>0</v>
      </c>
      <c r="AN48" s="161"/>
      <c r="AO48" s="219">
        <f t="shared" si="12"/>
        <v>0</v>
      </c>
      <c r="AP48" s="220">
        <f t="shared" si="13"/>
        <v>0</v>
      </c>
      <c r="AQ48" s="220">
        <f t="shared" si="14"/>
        <v>0</v>
      </c>
      <c r="AR48" s="222">
        <f t="shared" si="15"/>
        <v>0</v>
      </c>
      <c r="AS48" s="223">
        <f t="shared" si="16"/>
        <v>0</v>
      </c>
      <c r="AT48" s="222">
        <f t="shared" si="17"/>
        <v>0</v>
      </c>
      <c r="AU48" s="222">
        <f t="shared" si="18"/>
        <v>0</v>
      </c>
      <c r="AV48" s="222">
        <f t="shared" si="19"/>
        <v>0</v>
      </c>
      <c r="AW48" s="222">
        <f t="shared" si="20"/>
        <v>0</v>
      </c>
      <c r="AX48" s="222">
        <f t="shared" si="21"/>
        <v>0</v>
      </c>
      <c r="AY48" s="222">
        <f t="shared" si="22"/>
        <v>0</v>
      </c>
      <c r="AZ48" s="222">
        <f>IF(AND(SUM($AQ$16:AQ47)&gt;0,SUM($AZ$16:AZ47)&lt;$P$62,$W48&gt;=$P$65),$P$64,0)</f>
        <v>0</v>
      </c>
      <c r="BA48" s="222">
        <f>IF(SUM($AQ$17:$AQ47)&gt;0,($P$62-SUM($AZ$17:$AZ47))*$F$65,0)</f>
        <v>7.6738615462090819E-16</v>
      </c>
      <c r="BB48" s="223">
        <f t="shared" si="23"/>
        <v>0</v>
      </c>
      <c r="BC48" s="220">
        <f t="shared" si="24"/>
        <v>0</v>
      </c>
      <c r="BD48" s="221">
        <f t="shared" si="25"/>
        <v>0</v>
      </c>
      <c r="BE48" s="48"/>
      <c r="BF48" s="47">
        <f t="shared" si="43"/>
        <v>0.33609246325226916</v>
      </c>
      <c r="BH48" s="219">
        <f t="shared" si="26"/>
        <v>0</v>
      </c>
      <c r="BI48" s="219">
        <f t="shared" si="27"/>
        <v>0</v>
      </c>
      <c r="BJ48" s="220">
        <f t="shared" si="28"/>
        <v>0</v>
      </c>
      <c r="BK48" s="220">
        <f t="shared" si="29"/>
        <v>0</v>
      </c>
      <c r="BL48" s="220">
        <f t="shared" si="30"/>
        <v>0</v>
      </c>
      <c r="BM48" s="222">
        <f t="shared" si="31"/>
        <v>0</v>
      </c>
      <c r="BN48" s="223">
        <f t="shared" si="32"/>
        <v>0</v>
      </c>
      <c r="BO48" s="220">
        <f t="shared" si="33"/>
        <v>0</v>
      </c>
      <c r="BP48" s="220">
        <f t="shared" si="34"/>
        <v>0</v>
      </c>
      <c r="BQ48" s="220">
        <f t="shared" si="35"/>
        <v>0</v>
      </c>
      <c r="BR48" s="220">
        <f t="shared" si="36"/>
        <v>0</v>
      </c>
      <c r="BS48" s="220">
        <f t="shared" si="37"/>
        <v>0</v>
      </c>
      <c r="BT48" s="220">
        <f t="shared" si="38"/>
        <v>0</v>
      </c>
      <c r="BU48" s="223">
        <f t="shared" si="39"/>
        <v>0</v>
      </c>
      <c r="BV48" s="223">
        <f t="shared" si="40"/>
        <v>0</v>
      </c>
      <c r="BW48" s="163"/>
      <c r="BX48" s="155">
        <f t="shared" si="41"/>
        <v>0</v>
      </c>
      <c r="BY48" s="273">
        <f t="shared" si="44"/>
        <v>0</v>
      </c>
    </row>
    <row r="49" spans="1:77" ht="15.75" customHeight="1">
      <c r="B49" s="92" t="s">
        <v>139</v>
      </c>
      <c r="M49" t="s">
        <v>140</v>
      </c>
      <c r="N49" s="19" t="s">
        <v>7</v>
      </c>
      <c r="O49" s="120"/>
      <c r="P49" s="121">
        <f>F105*$F$16</f>
        <v>45</v>
      </c>
      <c r="V49" s="57">
        <f t="shared" si="42"/>
        <v>57435</v>
      </c>
      <c r="W49" s="26">
        <v>33</v>
      </c>
      <c r="X49" s="269" t="str">
        <f t="shared" si="0"/>
        <v>-</v>
      </c>
      <c r="Y49" s="231">
        <f t="shared" si="1"/>
        <v>0</v>
      </c>
      <c r="Z49" s="222">
        <f t="shared" si="2"/>
        <v>0</v>
      </c>
      <c r="AA49" s="222">
        <f t="shared" si="3"/>
        <v>0</v>
      </c>
      <c r="AB49" s="222">
        <f t="shared" si="4"/>
        <v>0</v>
      </c>
      <c r="AC49" s="223">
        <f t="shared" si="5"/>
        <v>0</v>
      </c>
      <c r="AD49" s="231">
        <f t="shared" si="6"/>
        <v>0</v>
      </c>
      <c r="AE49" s="222">
        <f t="shared" si="7"/>
        <v>0</v>
      </c>
      <c r="AF49" s="222">
        <f t="shared" si="8"/>
        <v>0</v>
      </c>
      <c r="AG49" s="222">
        <f>IF(AND(SUM($AA$16:AA48)&gt;0,SUM($AG$16:AG48)&lt;$O$62,$W49&gt;=$O$65),$O$64,0)</f>
        <v>0</v>
      </c>
      <c r="AH49" s="220">
        <f>IF(SUM($AA$17:$AA48)&gt;0,($O$62-SUM($AG$17:$AG48))*$E$65,0)</f>
        <v>-6.1390892369672655E-15</v>
      </c>
      <c r="AI49" s="223">
        <f t="shared" si="9"/>
        <v>0</v>
      </c>
      <c r="AJ49" s="220">
        <f t="shared" si="10"/>
        <v>0</v>
      </c>
      <c r="AK49" s="243">
        <f>(SUM($P$31,$P$51)-SUM($AU$17:AU48))*$O$109</f>
        <v>0</v>
      </c>
      <c r="AL49" s="245"/>
      <c r="AM49" s="221">
        <f t="shared" si="11"/>
        <v>0</v>
      </c>
      <c r="AN49" s="161"/>
      <c r="AO49" s="219">
        <f t="shared" si="12"/>
        <v>0</v>
      </c>
      <c r="AP49" s="220">
        <f t="shared" si="13"/>
        <v>0</v>
      </c>
      <c r="AQ49" s="220">
        <f t="shared" si="14"/>
        <v>0</v>
      </c>
      <c r="AR49" s="222">
        <f t="shared" si="15"/>
        <v>0</v>
      </c>
      <c r="AS49" s="223">
        <f t="shared" si="16"/>
        <v>0</v>
      </c>
      <c r="AT49" s="222">
        <f t="shared" si="17"/>
        <v>0</v>
      </c>
      <c r="AU49" s="222">
        <f t="shared" si="18"/>
        <v>0</v>
      </c>
      <c r="AV49" s="222">
        <f t="shared" si="19"/>
        <v>0</v>
      </c>
      <c r="AW49" s="222">
        <f t="shared" si="20"/>
        <v>0</v>
      </c>
      <c r="AX49" s="222">
        <f t="shared" si="21"/>
        <v>0</v>
      </c>
      <c r="AY49" s="222">
        <f t="shared" si="22"/>
        <v>0</v>
      </c>
      <c r="AZ49" s="222">
        <f>IF(AND(SUM($AQ$16:AQ48)&gt;0,SUM($AZ$16:AZ48)&lt;$P$62,$W49&gt;=$P$65),$P$64,0)</f>
        <v>0</v>
      </c>
      <c r="BA49" s="222">
        <f>IF(SUM($AQ$17:$AQ48)&gt;0,($P$62-SUM($AZ$17:$AZ48))*$F$65,0)</f>
        <v>7.6738615462090819E-16</v>
      </c>
      <c r="BB49" s="223">
        <f t="shared" si="23"/>
        <v>0</v>
      </c>
      <c r="BC49" s="220">
        <f t="shared" si="24"/>
        <v>0</v>
      </c>
      <c r="BD49" s="221">
        <f t="shared" si="25"/>
        <v>0</v>
      </c>
      <c r="BE49" s="48"/>
      <c r="BF49" s="47">
        <f t="shared" si="43"/>
        <v>0.32483334951250631</v>
      </c>
      <c r="BH49" s="219">
        <f t="shared" si="26"/>
        <v>0</v>
      </c>
      <c r="BI49" s="219">
        <f t="shared" si="27"/>
        <v>0</v>
      </c>
      <c r="BJ49" s="220">
        <f t="shared" si="28"/>
        <v>0</v>
      </c>
      <c r="BK49" s="220">
        <f t="shared" si="29"/>
        <v>0</v>
      </c>
      <c r="BL49" s="220">
        <f t="shared" si="30"/>
        <v>0</v>
      </c>
      <c r="BM49" s="222">
        <f t="shared" si="31"/>
        <v>0</v>
      </c>
      <c r="BN49" s="223">
        <f t="shared" si="32"/>
        <v>0</v>
      </c>
      <c r="BO49" s="220">
        <f t="shared" si="33"/>
        <v>0</v>
      </c>
      <c r="BP49" s="220">
        <f t="shared" si="34"/>
        <v>0</v>
      </c>
      <c r="BQ49" s="220">
        <f t="shared" si="35"/>
        <v>0</v>
      </c>
      <c r="BR49" s="220">
        <f t="shared" si="36"/>
        <v>0</v>
      </c>
      <c r="BS49" s="220">
        <f t="shared" si="37"/>
        <v>0</v>
      </c>
      <c r="BT49" s="220">
        <f t="shared" si="38"/>
        <v>0</v>
      </c>
      <c r="BU49" s="223">
        <f t="shared" si="39"/>
        <v>0</v>
      </c>
      <c r="BV49" s="223">
        <f t="shared" si="40"/>
        <v>0</v>
      </c>
      <c r="BW49" s="163"/>
      <c r="BX49" s="155">
        <f t="shared" si="41"/>
        <v>0</v>
      </c>
      <c r="BY49" s="273">
        <f t="shared" si="44"/>
        <v>0</v>
      </c>
    </row>
    <row r="50" spans="1:77" ht="15.75" customHeight="1" thickBot="1">
      <c r="C50" s="55" t="s">
        <v>141</v>
      </c>
      <c r="D50" t="s">
        <v>38</v>
      </c>
      <c r="F50" s="258">
        <v>0.95</v>
      </c>
      <c r="H50" s="55" t="s">
        <v>142</v>
      </c>
      <c r="M50" t="s">
        <v>143</v>
      </c>
      <c r="N50" s="19" t="s">
        <v>7</v>
      </c>
      <c r="O50" s="120"/>
      <c r="P50" s="121">
        <f>SUM(P84,P88)+P93</f>
        <v>0.18</v>
      </c>
      <c r="Q50" t="s">
        <v>144</v>
      </c>
      <c r="V50" s="57">
        <f t="shared" si="42"/>
        <v>57800</v>
      </c>
      <c r="W50" s="26">
        <v>34</v>
      </c>
      <c r="X50" s="269" t="str">
        <f t="shared" si="0"/>
        <v>-</v>
      </c>
      <c r="Y50" s="231">
        <f t="shared" si="1"/>
        <v>0</v>
      </c>
      <c r="Z50" s="222">
        <f t="shared" si="2"/>
        <v>0</v>
      </c>
      <c r="AA50" s="222">
        <f t="shared" si="3"/>
        <v>0</v>
      </c>
      <c r="AB50" s="222">
        <f t="shared" si="4"/>
        <v>0</v>
      </c>
      <c r="AC50" s="223">
        <f t="shared" si="5"/>
        <v>0</v>
      </c>
      <c r="AD50" s="231">
        <f t="shared" si="6"/>
        <v>0</v>
      </c>
      <c r="AE50" s="222">
        <f t="shared" si="7"/>
        <v>0</v>
      </c>
      <c r="AF50" s="222">
        <f t="shared" si="8"/>
        <v>0</v>
      </c>
      <c r="AG50" s="222">
        <f>IF(AND(SUM($AA$16:AA49)&gt;0,SUM($AG$16:AG49)&lt;$O$62,$W50&gt;=$O$65),$O$64,0)</f>
        <v>0</v>
      </c>
      <c r="AH50" s="220">
        <f>IF(SUM($AA$17:$AA49)&gt;0,($O$62-SUM($AG$17:$AG49))*$E$65,0)</f>
        <v>-6.1390892369672655E-15</v>
      </c>
      <c r="AI50" s="223">
        <f t="shared" si="9"/>
        <v>0</v>
      </c>
      <c r="AJ50" s="220">
        <f t="shared" si="10"/>
        <v>0</v>
      </c>
      <c r="AK50" s="243">
        <f>(SUM($P$31,$P$51)-SUM($AU$17:AU49))*$O$109</f>
        <v>0</v>
      </c>
      <c r="AL50" s="245"/>
      <c r="AM50" s="221">
        <f t="shared" si="11"/>
        <v>0</v>
      </c>
      <c r="AN50" s="161"/>
      <c r="AO50" s="219">
        <f t="shared" si="12"/>
        <v>0</v>
      </c>
      <c r="AP50" s="220">
        <f t="shared" si="13"/>
        <v>0</v>
      </c>
      <c r="AQ50" s="220">
        <f t="shared" si="14"/>
        <v>0</v>
      </c>
      <c r="AR50" s="222">
        <f t="shared" si="15"/>
        <v>0</v>
      </c>
      <c r="AS50" s="223">
        <f t="shared" si="16"/>
        <v>0</v>
      </c>
      <c r="AT50" s="222">
        <f t="shared" si="17"/>
        <v>0</v>
      </c>
      <c r="AU50" s="222">
        <f t="shared" si="18"/>
        <v>0</v>
      </c>
      <c r="AV50" s="222">
        <f t="shared" si="19"/>
        <v>0</v>
      </c>
      <c r="AW50" s="222">
        <f t="shared" si="20"/>
        <v>0</v>
      </c>
      <c r="AX50" s="222">
        <f t="shared" si="21"/>
        <v>0</v>
      </c>
      <c r="AY50" s="222">
        <f t="shared" si="22"/>
        <v>0</v>
      </c>
      <c r="AZ50" s="222">
        <f>IF(AND(SUM($AQ$16:AQ49)&gt;0,SUM($AZ$16:AZ49)&lt;$P$62,$W50&gt;=$P$65),$P$64,0)</f>
        <v>0</v>
      </c>
      <c r="BA50" s="222">
        <f>IF(SUM($AQ$17:$AQ49)&gt;0,($P$62-SUM($AZ$17:$AZ49))*$F$65,0)</f>
        <v>7.6738615462090819E-16</v>
      </c>
      <c r="BB50" s="223">
        <f t="shared" si="23"/>
        <v>0</v>
      </c>
      <c r="BC50" s="220">
        <f t="shared" si="24"/>
        <v>0</v>
      </c>
      <c r="BD50" s="221">
        <f t="shared" si="25"/>
        <v>0</v>
      </c>
      <c r="BE50" s="48"/>
      <c r="BF50" s="47">
        <f t="shared" si="43"/>
        <v>0.31395141662642351</v>
      </c>
      <c r="BH50" s="219">
        <f t="shared" si="26"/>
        <v>0</v>
      </c>
      <c r="BI50" s="219">
        <f t="shared" si="27"/>
        <v>0</v>
      </c>
      <c r="BJ50" s="220">
        <f t="shared" si="28"/>
        <v>0</v>
      </c>
      <c r="BK50" s="220">
        <f t="shared" si="29"/>
        <v>0</v>
      </c>
      <c r="BL50" s="220">
        <f t="shared" si="30"/>
        <v>0</v>
      </c>
      <c r="BM50" s="222">
        <f t="shared" si="31"/>
        <v>0</v>
      </c>
      <c r="BN50" s="223">
        <f t="shared" si="32"/>
        <v>0</v>
      </c>
      <c r="BO50" s="220">
        <f t="shared" si="33"/>
        <v>0</v>
      </c>
      <c r="BP50" s="220">
        <f t="shared" si="34"/>
        <v>0</v>
      </c>
      <c r="BQ50" s="220">
        <f t="shared" si="35"/>
        <v>0</v>
      </c>
      <c r="BR50" s="220">
        <f t="shared" si="36"/>
        <v>0</v>
      </c>
      <c r="BS50" s="220">
        <f t="shared" si="37"/>
        <v>0</v>
      </c>
      <c r="BT50" s="220">
        <f t="shared" si="38"/>
        <v>0</v>
      </c>
      <c r="BU50" s="223">
        <f t="shared" si="39"/>
        <v>0</v>
      </c>
      <c r="BV50" s="223">
        <f t="shared" si="40"/>
        <v>0</v>
      </c>
      <c r="BW50" s="163"/>
      <c r="BX50" s="155">
        <f t="shared" si="41"/>
        <v>0</v>
      </c>
      <c r="BY50" s="273">
        <f t="shared" si="44"/>
        <v>0</v>
      </c>
    </row>
    <row r="51" spans="1:77" ht="15.75" customHeight="1" thickBot="1">
      <c r="B51" s="55"/>
      <c r="C51" s="55" t="s">
        <v>145</v>
      </c>
      <c r="D51" t="s">
        <v>38</v>
      </c>
      <c r="F51" s="194">
        <f>事業費用概算!I32</f>
        <v>0.05</v>
      </c>
      <c r="K51" s="122" t="s">
        <v>147</v>
      </c>
      <c r="L51" s="123"/>
      <c r="M51" s="123"/>
      <c r="N51" s="124" t="s">
        <v>7</v>
      </c>
      <c r="O51" s="125"/>
      <c r="P51" s="126">
        <f>SUM(P48:P49)*$F$47</f>
        <v>145</v>
      </c>
      <c r="Q51" t="s">
        <v>148</v>
      </c>
      <c r="V51" s="57">
        <f t="shared" si="42"/>
        <v>58165</v>
      </c>
      <c r="W51" s="26">
        <v>35</v>
      </c>
      <c r="X51" s="269" t="str">
        <f t="shared" si="0"/>
        <v>-</v>
      </c>
      <c r="Y51" s="231">
        <f t="shared" si="1"/>
        <v>0</v>
      </c>
      <c r="Z51" s="222">
        <f t="shared" si="2"/>
        <v>0</v>
      </c>
      <c r="AA51" s="222">
        <f t="shared" si="3"/>
        <v>0</v>
      </c>
      <c r="AB51" s="222">
        <f t="shared" si="4"/>
        <v>0</v>
      </c>
      <c r="AC51" s="223">
        <f t="shared" si="5"/>
        <v>0</v>
      </c>
      <c r="AD51" s="231">
        <f t="shared" si="6"/>
        <v>0</v>
      </c>
      <c r="AE51" s="222">
        <f t="shared" si="7"/>
        <v>0</v>
      </c>
      <c r="AF51" s="222">
        <f t="shared" si="8"/>
        <v>0</v>
      </c>
      <c r="AG51" s="222">
        <f>IF(AND(SUM($AA$16:AA50)&gt;0,SUM($AG$16:AG50)&lt;$O$62,$W51&gt;=$O$65),$O$64,0)</f>
        <v>0</v>
      </c>
      <c r="AH51" s="220">
        <f>IF(SUM($AA$17:$AA50)&gt;0,($O$62-SUM($AG$17:$AG50))*$E$65,0)</f>
        <v>-6.1390892369672655E-15</v>
      </c>
      <c r="AI51" s="223">
        <f t="shared" si="9"/>
        <v>0</v>
      </c>
      <c r="AJ51" s="220">
        <f t="shared" si="10"/>
        <v>0</v>
      </c>
      <c r="AK51" s="243">
        <f>(SUM($P$31,$P$51)-SUM($AU$17:AU50))*$O$109</f>
        <v>0</v>
      </c>
      <c r="AL51" s="245"/>
      <c r="AM51" s="221">
        <f t="shared" si="11"/>
        <v>0</v>
      </c>
      <c r="AN51" s="161"/>
      <c r="AO51" s="219">
        <f t="shared" si="12"/>
        <v>0</v>
      </c>
      <c r="AP51" s="220">
        <f t="shared" si="13"/>
        <v>0</v>
      </c>
      <c r="AQ51" s="220">
        <f t="shared" si="14"/>
        <v>0</v>
      </c>
      <c r="AR51" s="222">
        <f t="shared" si="15"/>
        <v>0</v>
      </c>
      <c r="AS51" s="223">
        <f t="shared" si="16"/>
        <v>0</v>
      </c>
      <c r="AT51" s="222">
        <f t="shared" si="17"/>
        <v>0</v>
      </c>
      <c r="AU51" s="222">
        <f t="shared" si="18"/>
        <v>0</v>
      </c>
      <c r="AV51" s="222">
        <f t="shared" si="19"/>
        <v>0</v>
      </c>
      <c r="AW51" s="222">
        <f t="shared" si="20"/>
        <v>0</v>
      </c>
      <c r="AX51" s="222">
        <f t="shared" si="21"/>
        <v>0</v>
      </c>
      <c r="AY51" s="222">
        <f t="shared" si="22"/>
        <v>0</v>
      </c>
      <c r="AZ51" s="222">
        <f>IF(AND(SUM($AQ$16:AQ50)&gt;0,SUM($AZ$16:AZ50)&lt;$P$62,$W51&gt;=$P$65),$P$64,0)</f>
        <v>0</v>
      </c>
      <c r="BA51" s="222">
        <f>IF(SUM($AQ$17:$AQ50)&gt;0,($P$62-SUM($AZ$17:$AZ50))*$F$65,0)</f>
        <v>7.6738615462090819E-16</v>
      </c>
      <c r="BB51" s="223">
        <f t="shared" si="23"/>
        <v>0</v>
      </c>
      <c r="BC51" s="220">
        <f t="shared" si="24"/>
        <v>0</v>
      </c>
      <c r="BD51" s="221">
        <f t="shared" si="25"/>
        <v>0</v>
      </c>
      <c r="BE51" s="48"/>
      <c r="BF51" s="47">
        <f t="shared" si="43"/>
        <v>0.30343402901721861</v>
      </c>
      <c r="BH51" s="219">
        <f t="shared" si="26"/>
        <v>0</v>
      </c>
      <c r="BI51" s="219">
        <f t="shared" si="27"/>
        <v>0</v>
      </c>
      <c r="BJ51" s="220">
        <f t="shared" si="28"/>
        <v>0</v>
      </c>
      <c r="BK51" s="220">
        <f t="shared" si="29"/>
        <v>0</v>
      </c>
      <c r="BL51" s="220">
        <f t="shared" si="30"/>
        <v>0</v>
      </c>
      <c r="BM51" s="222">
        <f t="shared" si="31"/>
        <v>0</v>
      </c>
      <c r="BN51" s="223">
        <f t="shared" si="32"/>
        <v>0</v>
      </c>
      <c r="BO51" s="220">
        <f t="shared" si="33"/>
        <v>0</v>
      </c>
      <c r="BP51" s="220">
        <f t="shared" si="34"/>
        <v>0</v>
      </c>
      <c r="BQ51" s="220">
        <f t="shared" si="35"/>
        <v>0</v>
      </c>
      <c r="BR51" s="220">
        <f t="shared" si="36"/>
        <v>0</v>
      </c>
      <c r="BS51" s="220">
        <f t="shared" si="37"/>
        <v>0</v>
      </c>
      <c r="BT51" s="220">
        <f t="shared" si="38"/>
        <v>0</v>
      </c>
      <c r="BU51" s="223">
        <f t="shared" si="39"/>
        <v>0</v>
      </c>
      <c r="BV51" s="223">
        <f t="shared" si="40"/>
        <v>0</v>
      </c>
      <c r="BW51" s="163"/>
      <c r="BX51" s="155">
        <f t="shared" si="41"/>
        <v>0</v>
      </c>
      <c r="BY51" s="273">
        <f t="shared" si="44"/>
        <v>0</v>
      </c>
    </row>
    <row r="52" spans="1:77" ht="15.75" customHeight="1">
      <c r="B52" s="55"/>
      <c r="C52" s="55" t="s">
        <v>149</v>
      </c>
      <c r="D52" t="s">
        <v>38</v>
      </c>
      <c r="F52" s="194">
        <f>事業費用概算!I33</f>
        <v>0.05</v>
      </c>
      <c r="M52" t="s">
        <v>150</v>
      </c>
      <c r="N52" s="19" t="s">
        <v>7</v>
      </c>
      <c r="O52" s="127"/>
      <c r="P52" s="128">
        <f>F105</f>
        <v>15</v>
      </c>
      <c r="V52" s="57">
        <f t="shared" si="42"/>
        <v>58531</v>
      </c>
      <c r="W52" s="26">
        <v>36</v>
      </c>
      <c r="X52" s="269" t="str">
        <f t="shared" si="0"/>
        <v>-</v>
      </c>
      <c r="Y52" s="231">
        <f t="shared" si="1"/>
        <v>0</v>
      </c>
      <c r="Z52" s="222">
        <f t="shared" si="2"/>
        <v>0</v>
      </c>
      <c r="AA52" s="222">
        <f t="shared" si="3"/>
        <v>0</v>
      </c>
      <c r="AB52" s="222">
        <f t="shared" si="4"/>
        <v>0</v>
      </c>
      <c r="AC52" s="223">
        <f t="shared" si="5"/>
        <v>0</v>
      </c>
      <c r="AD52" s="231">
        <f t="shared" si="6"/>
        <v>0</v>
      </c>
      <c r="AE52" s="222">
        <f t="shared" si="7"/>
        <v>0</v>
      </c>
      <c r="AF52" s="222">
        <f t="shared" si="8"/>
        <v>0</v>
      </c>
      <c r="AG52" s="222">
        <f>IF(AND(SUM($AA$16:AA51)&gt;0,SUM($AG$16:AG51)&lt;$O$62,$W52&gt;=$O$65),$O$64,0)</f>
        <v>0</v>
      </c>
      <c r="AH52" s="220">
        <f>IF(SUM($AA$17:$AA51)&gt;0,($O$62-SUM($AG$17:$AG51))*$E$65,0)</f>
        <v>-6.1390892369672655E-15</v>
      </c>
      <c r="AI52" s="223">
        <f t="shared" si="9"/>
        <v>0</v>
      </c>
      <c r="AJ52" s="220">
        <f t="shared" si="10"/>
        <v>0</v>
      </c>
      <c r="AK52" s="243">
        <f>(SUM($P$31,$P$51)-SUM($AU$17:AU51))*$O$109</f>
        <v>0</v>
      </c>
      <c r="AL52" s="245"/>
      <c r="AM52" s="221">
        <f t="shared" si="11"/>
        <v>0</v>
      </c>
      <c r="AN52" s="161"/>
      <c r="AO52" s="219">
        <f t="shared" si="12"/>
        <v>0</v>
      </c>
      <c r="AP52" s="220">
        <f t="shared" si="13"/>
        <v>0</v>
      </c>
      <c r="AQ52" s="220">
        <f t="shared" si="14"/>
        <v>0</v>
      </c>
      <c r="AR52" s="222">
        <f t="shared" si="15"/>
        <v>0</v>
      </c>
      <c r="AS52" s="223">
        <f t="shared" si="16"/>
        <v>0</v>
      </c>
      <c r="AT52" s="222">
        <f t="shared" si="17"/>
        <v>0</v>
      </c>
      <c r="AU52" s="222">
        <f t="shared" si="18"/>
        <v>0</v>
      </c>
      <c r="AV52" s="222">
        <f t="shared" si="19"/>
        <v>0</v>
      </c>
      <c r="AW52" s="222">
        <f t="shared" si="20"/>
        <v>0</v>
      </c>
      <c r="AX52" s="222">
        <f t="shared" si="21"/>
        <v>0</v>
      </c>
      <c r="AY52" s="222">
        <f t="shared" si="22"/>
        <v>0</v>
      </c>
      <c r="AZ52" s="222">
        <f>IF(AND(SUM($AQ$16:AQ51)&gt;0,SUM($AZ$16:AZ51)&lt;$P$62,$W52&gt;=$P$65),$P$64,0)</f>
        <v>0</v>
      </c>
      <c r="BA52" s="222">
        <f>IF(SUM($AQ$17:$AQ51)&gt;0,($P$62-SUM($AZ$17:$AZ51))*$F$65,0)</f>
        <v>7.6738615462090819E-16</v>
      </c>
      <c r="BB52" s="223">
        <f t="shared" si="23"/>
        <v>0</v>
      </c>
      <c r="BC52" s="220">
        <f t="shared" si="24"/>
        <v>0</v>
      </c>
      <c r="BD52" s="221">
        <f t="shared" si="25"/>
        <v>0</v>
      </c>
      <c r="BE52" s="48"/>
      <c r="BF52" s="47">
        <f t="shared" si="43"/>
        <v>0.29326897440052213</v>
      </c>
      <c r="BH52" s="219">
        <f t="shared" si="26"/>
        <v>0</v>
      </c>
      <c r="BI52" s="219">
        <f t="shared" si="27"/>
        <v>0</v>
      </c>
      <c r="BJ52" s="220">
        <f t="shared" si="28"/>
        <v>0</v>
      </c>
      <c r="BK52" s="220">
        <f t="shared" si="29"/>
        <v>0</v>
      </c>
      <c r="BL52" s="220">
        <f t="shared" si="30"/>
        <v>0</v>
      </c>
      <c r="BM52" s="222">
        <f t="shared" si="31"/>
        <v>0</v>
      </c>
      <c r="BN52" s="223">
        <f t="shared" si="32"/>
        <v>0</v>
      </c>
      <c r="BO52" s="220">
        <f t="shared" si="33"/>
        <v>0</v>
      </c>
      <c r="BP52" s="220">
        <f t="shared" si="34"/>
        <v>0</v>
      </c>
      <c r="BQ52" s="220">
        <f t="shared" si="35"/>
        <v>0</v>
      </c>
      <c r="BR52" s="220">
        <f t="shared" si="36"/>
        <v>0</v>
      </c>
      <c r="BS52" s="220">
        <f t="shared" si="37"/>
        <v>0</v>
      </c>
      <c r="BT52" s="220">
        <f t="shared" si="38"/>
        <v>0</v>
      </c>
      <c r="BU52" s="223">
        <f t="shared" si="39"/>
        <v>0</v>
      </c>
      <c r="BV52" s="223">
        <f t="shared" si="40"/>
        <v>0</v>
      </c>
      <c r="BW52" s="163"/>
      <c r="BX52" s="155">
        <f t="shared" si="41"/>
        <v>0</v>
      </c>
      <c r="BY52" s="273">
        <f t="shared" si="44"/>
        <v>0</v>
      </c>
    </row>
    <row r="53" spans="1:77" ht="15.75" customHeight="1" thickBot="1">
      <c r="M53" t="s">
        <v>151</v>
      </c>
      <c r="N53" s="19" t="s">
        <v>7</v>
      </c>
      <c r="O53" s="127"/>
      <c r="P53" s="129">
        <f>P95</f>
        <v>0.18</v>
      </c>
      <c r="V53" s="57">
        <f t="shared" si="42"/>
        <v>58896</v>
      </c>
      <c r="W53" s="26">
        <v>37</v>
      </c>
      <c r="X53" s="269" t="str">
        <f t="shared" si="0"/>
        <v>-</v>
      </c>
      <c r="Y53" s="231">
        <f t="shared" si="1"/>
        <v>0</v>
      </c>
      <c r="Z53" s="222">
        <f t="shared" si="2"/>
        <v>0</v>
      </c>
      <c r="AA53" s="222">
        <f t="shared" si="3"/>
        <v>0</v>
      </c>
      <c r="AB53" s="222">
        <f t="shared" si="4"/>
        <v>0</v>
      </c>
      <c r="AC53" s="223">
        <f t="shared" si="5"/>
        <v>0</v>
      </c>
      <c r="AD53" s="231">
        <f t="shared" si="6"/>
        <v>0</v>
      </c>
      <c r="AE53" s="222">
        <f t="shared" si="7"/>
        <v>0</v>
      </c>
      <c r="AF53" s="222">
        <f t="shared" si="8"/>
        <v>0</v>
      </c>
      <c r="AG53" s="222">
        <f>IF(AND(SUM($AA$16:AA52)&gt;0,SUM($AG$16:AG52)&lt;$O$62,$W53&gt;=$O$65),$O$64,0)</f>
        <v>0</v>
      </c>
      <c r="AH53" s="220">
        <f>IF(SUM($AA$17:$AA52)&gt;0,($O$62-SUM($AG$17:$AG52))*$E$65,0)</f>
        <v>-6.1390892369672655E-15</v>
      </c>
      <c r="AI53" s="223">
        <f t="shared" si="9"/>
        <v>0</v>
      </c>
      <c r="AJ53" s="220">
        <f t="shared" si="10"/>
        <v>0</v>
      </c>
      <c r="AK53" s="243">
        <f>(SUM($P$31,$P$51)-SUM($AU$17:AU52))*$O$109</f>
        <v>0</v>
      </c>
      <c r="AL53" s="245"/>
      <c r="AM53" s="221">
        <f t="shared" si="11"/>
        <v>0</v>
      </c>
      <c r="AN53" s="161"/>
      <c r="AO53" s="219">
        <f t="shared" si="12"/>
        <v>0</v>
      </c>
      <c r="AP53" s="220">
        <f t="shared" si="13"/>
        <v>0</v>
      </c>
      <c r="AQ53" s="220">
        <f t="shared" si="14"/>
        <v>0</v>
      </c>
      <c r="AR53" s="222">
        <f t="shared" si="15"/>
        <v>0</v>
      </c>
      <c r="AS53" s="223">
        <f t="shared" si="16"/>
        <v>0</v>
      </c>
      <c r="AT53" s="222">
        <f t="shared" si="17"/>
        <v>0</v>
      </c>
      <c r="AU53" s="222">
        <f t="shared" si="18"/>
        <v>0</v>
      </c>
      <c r="AV53" s="222">
        <f t="shared" si="19"/>
        <v>0</v>
      </c>
      <c r="AW53" s="222">
        <f t="shared" si="20"/>
        <v>0</v>
      </c>
      <c r="AX53" s="222">
        <f t="shared" si="21"/>
        <v>0</v>
      </c>
      <c r="AY53" s="222">
        <f t="shared" si="22"/>
        <v>0</v>
      </c>
      <c r="AZ53" s="222">
        <f>IF(AND(SUM($AQ$16:AQ52)&gt;0,SUM($AZ$16:AZ52)&lt;$P$62,$W53&gt;=$P$65),$P$64,0)</f>
        <v>0</v>
      </c>
      <c r="BA53" s="222">
        <f>IF(SUM($AQ$17:$AQ52)&gt;0,($P$62-SUM($AZ$17:$AZ52))*$F$65,0)</f>
        <v>7.6738615462090819E-16</v>
      </c>
      <c r="BB53" s="223">
        <f t="shared" si="23"/>
        <v>0</v>
      </c>
      <c r="BC53" s="220">
        <f t="shared" si="24"/>
        <v>0</v>
      </c>
      <c r="BD53" s="221">
        <f t="shared" si="25"/>
        <v>0</v>
      </c>
      <c r="BE53" s="48"/>
      <c r="BF53" s="47">
        <f t="shared" si="43"/>
        <v>0.2834444496040805</v>
      </c>
      <c r="BH53" s="219">
        <f t="shared" si="26"/>
        <v>0</v>
      </c>
      <c r="BI53" s="219">
        <f t="shared" si="27"/>
        <v>0</v>
      </c>
      <c r="BJ53" s="220">
        <f t="shared" si="28"/>
        <v>0</v>
      </c>
      <c r="BK53" s="220">
        <f t="shared" si="29"/>
        <v>0</v>
      </c>
      <c r="BL53" s="220">
        <f t="shared" si="30"/>
        <v>0</v>
      </c>
      <c r="BM53" s="222">
        <f t="shared" si="31"/>
        <v>0</v>
      </c>
      <c r="BN53" s="223">
        <f t="shared" si="32"/>
        <v>0</v>
      </c>
      <c r="BO53" s="220">
        <f t="shared" si="33"/>
        <v>0</v>
      </c>
      <c r="BP53" s="220">
        <f t="shared" si="34"/>
        <v>0</v>
      </c>
      <c r="BQ53" s="220">
        <f t="shared" si="35"/>
        <v>0</v>
      </c>
      <c r="BR53" s="220">
        <f t="shared" si="36"/>
        <v>0</v>
      </c>
      <c r="BS53" s="220">
        <f t="shared" si="37"/>
        <v>0</v>
      </c>
      <c r="BT53" s="220">
        <f t="shared" si="38"/>
        <v>0</v>
      </c>
      <c r="BU53" s="223">
        <f t="shared" si="39"/>
        <v>0</v>
      </c>
      <c r="BV53" s="223">
        <f t="shared" si="40"/>
        <v>0</v>
      </c>
      <c r="BW53" s="163"/>
      <c r="BX53" s="155">
        <f t="shared" si="41"/>
        <v>0</v>
      </c>
      <c r="BY53" s="273">
        <f t="shared" si="44"/>
        <v>0</v>
      </c>
    </row>
    <row r="54" spans="1:77" ht="15.75" customHeight="1" thickBot="1">
      <c r="A54" s="4" t="s">
        <v>152</v>
      </c>
      <c r="K54" s="122" t="s">
        <v>153</v>
      </c>
      <c r="L54" s="123"/>
      <c r="M54" s="123"/>
      <c r="N54" s="124" t="s">
        <v>7</v>
      </c>
      <c r="O54" s="125"/>
      <c r="P54" s="126">
        <f>SUM(P52:P53)*$F$47</f>
        <v>15.18</v>
      </c>
      <c r="Q54" t="s">
        <v>154</v>
      </c>
      <c r="V54" s="57">
        <f t="shared" si="42"/>
        <v>59261</v>
      </c>
      <c r="W54" s="26">
        <v>38</v>
      </c>
      <c r="X54" s="269" t="str">
        <f t="shared" si="0"/>
        <v>-</v>
      </c>
      <c r="Y54" s="231">
        <f t="shared" si="1"/>
        <v>0</v>
      </c>
      <c r="Z54" s="222">
        <f t="shared" si="2"/>
        <v>0</v>
      </c>
      <c r="AA54" s="222">
        <f t="shared" si="3"/>
        <v>0</v>
      </c>
      <c r="AB54" s="222">
        <f t="shared" si="4"/>
        <v>0</v>
      </c>
      <c r="AC54" s="223">
        <f t="shared" si="5"/>
        <v>0</v>
      </c>
      <c r="AD54" s="231">
        <f t="shared" si="6"/>
        <v>0</v>
      </c>
      <c r="AE54" s="222">
        <f t="shared" si="7"/>
        <v>0</v>
      </c>
      <c r="AF54" s="222">
        <f t="shared" si="8"/>
        <v>0</v>
      </c>
      <c r="AG54" s="222">
        <f>IF(AND(SUM($AA$16:AA53)&gt;0,SUM($AG$16:AG53)&lt;$O$62,$W54&gt;=$O$65),$O$64,0)</f>
        <v>0</v>
      </c>
      <c r="AH54" s="220">
        <f>IF(SUM($AA$17:$AA53)&gt;0,($O$62-SUM($AG$17:$AG53))*$E$65,0)</f>
        <v>-6.1390892369672655E-15</v>
      </c>
      <c r="AI54" s="223">
        <f t="shared" si="9"/>
        <v>0</v>
      </c>
      <c r="AJ54" s="220">
        <f t="shared" si="10"/>
        <v>0</v>
      </c>
      <c r="AK54" s="243">
        <f>(SUM($P$31,$P$51)-SUM($AU$17:AU53))*$O$109</f>
        <v>0</v>
      </c>
      <c r="AL54" s="245"/>
      <c r="AM54" s="221">
        <f t="shared" si="11"/>
        <v>0</v>
      </c>
      <c r="AN54" s="161"/>
      <c r="AO54" s="219">
        <f t="shared" si="12"/>
        <v>0</v>
      </c>
      <c r="AP54" s="220">
        <f t="shared" si="13"/>
        <v>0</v>
      </c>
      <c r="AQ54" s="220">
        <f t="shared" si="14"/>
        <v>0</v>
      </c>
      <c r="AR54" s="222">
        <f t="shared" si="15"/>
        <v>0</v>
      </c>
      <c r="AS54" s="223">
        <f t="shared" si="16"/>
        <v>0</v>
      </c>
      <c r="AT54" s="222">
        <f t="shared" si="17"/>
        <v>0</v>
      </c>
      <c r="AU54" s="222">
        <f t="shared" si="18"/>
        <v>0</v>
      </c>
      <c r="AV54" s="222">
        <f t="shared" si="19"/>
        <v>0</v>
      </c>
      <c r="AW54" s="222">
        <f t="shared" si="20"/>
        <v>0</v>
      </c>
      <c r="AX54" s="222">
        <f t="shared" si="21"/>
        <v>0</v>
      </c>
      <c r="AY54" s="222">
        <f t="shared" si="22"/>
        <v>0</v>
      </c>
      <c r="AZ54" s="222">
        <f>IF(AND(SUM($AQ$16:AQ53)&gt;0,SUM($AZ$16:AZ53)&lt;$P$62,$W54&gt;=$P$65),$P$64,0)</f>
        <v>0</v>
      </c>
      <c r="BA54" s="222">
        <f>IF(SUM($AQ$17:$AQ53)&gt;0,($P$62-SUM($AZ$17:$AZ53))*$F$65,0)</f>
        <v>7.6738615462090819E-16</v>
      </c>
      <c r="BB54" s="223">
        <f t="shared" si="23"/>
        <v>0</v>
      </c>
      <c r="BC54" s="220">
        <f t="shared" si="24"/>
        <v>0</v>
      </c>
      <c r="BD54" s="221">
        <f t="shared" si="25"/>
        <v>0</v>
      </c>
      <c r="BE54" s="48"/>
      <c r="BF54" s="47">
        <f t="shared" si="43"/>
        <v>0.27394904686248012</v>
      </c>
      <c r="BH54" s="219">
        <f t="shared" si="26"/>
        <v>0</v>
      </c>
      <c r="BI54" s="219">
        <f t="shared" si="27"/>
        <v>0</v>
      </c>
      <c r="BJ54" s="220">
        <f t="shared" si="28"/>
        <v>0</v>
      </c>
      <c r="BK54" s="220">
        <f t="shared" si="29"/>
        <v>0</v>
      </c>
      <c r="BL54" s="220">
        <f t="shared" si="30"/>
        <v>0</v>
      </c>
      <c r="BM54" s="222">
        <f t="shared" si="31"/>
        <v>0</v>
      </c>
      <c r="BN54" s="223">
        <f t="shared" si="32"/>
        <v>0</v>
      </c>
      <c r="BO54" s="220">
        <f t="shared" si="33"/>
        <v>0</v>
      </c>
      <c r="BP54" s="220">
        <f t="shared" si="34"/>
        <v>0</v>
      </c>
      <c r="BQ54" s="220">
        <f t="shared" si="35"/>
        <v>0</v>
      </c>
      <c r="BR54" s="220">
        <f t="shared" si="36"/>
        <v>0</v>
      </c>
      <c r="BS54" s="220">
        <f t="shared" si="37"/>
        <v>0</v>
      </c>
      <c r="BT54" s="220">
        <f t="shared" si="38"/>
        <v>0</v>
      </c>
      <c r="BU54" s="223">
        <f t="shared" si="39"/>
        <v>0</v>
      </c>
      <c r="BV54" s="223">
        <f t="shared" si="40"/>
        <v>0</v>
      </c>
      <c r="BW54" s="163"/>
      <c r="BX54" s="155">
        <f t="shared" si="41"/>
        <v>0</v>
      </c>
      <c r="BY54" s="273">
        <f t="shared" si="44"/>
        <v>0</v>
      </c>
    </row>
    <row r="55" spans="1:77" ht="15.75" customHeight="1">
      <c r="V55" s="57">
        <f t="shared" si="42"/>
        <v>59626</v>
      </c>
      <c r="W55" s="26">
        <v>39</v>
      </c>
      <c r="X55" s="269" t="str">
        <f t="shared" si="0"/>
        <v>-</v>
      </c>
      <c r="Y55" s="231">
        <f t="shared" si="1"/>
        <v>0</v>
      </c>
      <c r="Z55" s="222">
        <f t="shared" si="2"/>
        <v>0</v>
      </c>
      <c r="AA55" s="222">
        <f t="shared" si="3"/>
        <v>0</v>
      </c>
      <c r="AB55" s="222">
        <f t="shared" si="4"/>
        <v>0</v>
      </c>
      <c r="AC55" s="223">
        <f t="shared" si="5"/>
        <v>0</v>
      </c>
      <c r="AD55" s="231">
        <f t="shared" si="6"/>
        <v>0</v>
      </c>
      <c r="AE55" s="222">
        <f t="shared" si="7"/>
        <v>0</v>
      </c>
      <c r="AF55" s="222">
        <f t="shared" si="8"/>
        <v>0</v>
      </c>
      <c r="AG55" s="222">
        <f>IF(AND(SUM($AA$16:AA54)&gt;0,SUM($AG$16:AG54)&lt;$O$62,$W55&gt;=$O$65),$O$64,0)</f>
        <v>0</v>
      </c>
      <c r="AH55" s="220">
        <f>IF(SUM($AA$17:$AA54)&gt;0,($O$62-SUM($AG$17:$AG54))*$E$65,0)</f>
        <v>-6.1390892369672655E-15</v>
      </c>
      <c r="AI55" s="223">
        <f t="shared" si="9"/>
        <v>0</v>
      </c>
      <c r="AJ55" s="220">
        <f t="shared" si="10"/>
        <v>0</v>
      </c>
      <c r="AK55" s="243">
        <f>(SUM($P$31,$P$51)-SUM($AU$17:AU54))*$O$109</f>
        <v>0</v>
      </c>
      <c r="AL55" s="245"/>
      <c r="AM55" s="221">
        <f t="shared" si="11"/>
        <v>0</v>
      </c>
      <c r="AN55" s="161"/>
      <c r="AO55" s="219">
        <f t="shared" si="12"/>
        <v>0</v>
      </c>
      <c r="AP55" s="220">
        <f t="shared" si="13"/>
        <v>0</v>
      </c>
      <c r="AQ55" s="220">
        <f t="shared" si="14"/>
        <v>0</v>
      </c>
      <c r="AR55" s="222">
        <f t="shared" si="15"/>
        <v>0</v>
      </c>
      <c r="AS55" s="223">
        <f t="shared" si="16"/>
        <v>0</v>
      </c>
      <c r="AT55" s="222">
        <f t="shared" si="17"/>
        <v>0</v>
      </c>
      <c r="AU55" s="222">
        <f t="shared" si="18"/>
        <v>0</v>
      </c>
      <c r="AV55" s="222">
        <f t="shared" si="19"/>
        <v>0</v>
      </c>
      <c r="AW55" s="222">
        <f t="shared" si="20"/>
        <v>0</v>
      </c>
      <c r="AX55" s="222">
        <f t="shared" si="21"/>
        <v>0</v>
      </c>
      <c r="AY55" s="222">
        <f t="shared" si="22"/>
        <v>0</v>
      </c>
      <c r="AZ55" s="222">
        <f>IF(AND(SUM($AQ$16:AQ54)&gt;0,SUM($AZ$16:AZ54)&lt;$P$62,$W55&gt;=$P$65),$P$64,0)</f>
        <v>0</v>
      </c>
      <c r="BA55" s="222">
        <f>IF(SUM($AQ$17:$AQ54)&gt;0,($P$62-SUM($AZ$17:$AZ54))*$F$65,0)</f>
        <v>7.6738615462090819E-16</v>
      </c>
      <c r="BB55" s="223">
        <f t="shared" si="23"/>
        <v>0</v>
      </c>
      <c r="BC55" s="220">
        <f t="shared" si="24"/>
        <v>0</v>
      </c>
      <c r="BD55" s="221">
        <f t="shared" si="25"/>
        <v>0</v>
      </c>
      <c r="BE55" s="48"/>
      <c r="BF55" s="47">
        <f t="shared" si="43"/>
        <v>0.26477174057099945</v>
      </c>
      <c r="BH55" s="219">
        <f t="shared" si="26"/>
        <v>0</v>
      </c>
      <c r="BI55" s="219">
        <f t="shared" si="27"/>
        <v>0</v>
      </c>
      <c r="BJ55" s="220">
        <f t="shared" si="28"/>
        <v>0</v>
      </c>
      <c r="BK55" s="220">
        <f t="shared" si="29"/>
        <v>0</v>
      </c>
      <c r="BL55" s="220">
        <f t="shared" si="30"/>
        <v>0</v>
      </c>
      <c r="BM55" s="222">
        <f t="shared" si="31"/>
        <v>0</v>
      </c>
      <c r="BN55" s="223">
        <f t="shared" si="32"/>
        <v>0</v>
      </c>
      <c r="BO55" s="220">
        <f t="shared" si="33"/>
        <v>0</v>
      </c>
      <c r="BP55" s="220">
        <f t="shared" si="34"/>
        <v>0</v>
      </c>
      <c r="BQ55" s="220">
        <f t="shared" si="35"/>
        <v>0</v>
      </c>
      <c r="BR55" s="220">
        <f t="shared" si="36"/>
        <v>0</v>
      </c>
      <c r="BS55" s="220">
        <f t="shared" si="37"/>
        <v>0</v>
      </c>
      <c r="BT55" s="220">
        <f t="shared" si="38"/>
        <v>0</v>
      </c>
      <c r="BU55" s="223">
        <f t="shared" si="39"/>
        <v>0</v>
      </c>
      <c r="BV55" s="223">
        <f t="shared" si="40"/>
        <v>0</v>
      </c>
      <c r="BW55" s="163"/>
      <c r="BX55" s="155">
        <f t="shared" si="41"/>
        <v>0</v>
      </c>
      <c r="BY55" s="273">
        <f t="shared" si="44"/>
        <v>0</v>
      </c>
    </row>
    <row r="56" spans="1:77" ht="15.75" customHeight="1">
      <c r="C56" s="55" t="s">
        <v>155</v>
      </c>
      <c r="D56" t="s">
        <v>7</v>
      </c>
      <c r="F56" s="1">
        <v>0</v>
      </c>
      <c r="V56" s="57">
        <f t="shared" si="42"/>
        <v>59992</v>
      </c>
      <c r="W56" s="26">
        <v>40</v>
      </c>
      <c r="X56" s="269" t="str">
        <f t="shared" si="0"/>
        <v>-</v>
      </c>
      <c r="Y56" s="231">
        <f t="shared" si="1"/>
        <v>0</v>
      </c>
      <c r="Z56" s="222">
        <f t="shared" si="2"/>
        <v>0</v>
      </c>
      <c r="AA56" s="222">
        <f t="shared" si="3"/>
        <v>0</v>
      </c>
      <c r="AB56" s="222">
        <f t="shared" si="4"/>
        <v>0</v>
      </c>
      <c r="AC56" s="223">
        <f t="shared" si="5"/>
        <v>0</v>
      </c>
      <c r="AD56" s="231">
        <f t="shared" si="6"/>
        <v>0</v>
      </c>
      <c r="AE56" s="222">
        <f t="shared" si="7"/>
        <v>0</v>
      </c>
      <c r="AF56" s="222">
        <f t="shared" si="8"/>
        <v>0</v>
      </c>
      <c r="AG56" s="222">
        <f>IF(AND(SUM($AA$16:AA55)&gt;0,SUM($AG$16:AG55)&lt;$O$62,$W56&gt;=$O$65),$O$64,0)</f>
        <v>0</v>
      </c>
      <c r="AH56" s="220">
        <f>IF(SUM($AA$17:$AA55)&gt;0,($O$62-SUM($AG$17:$AG55))*$E$65,0)</f>
        <v>-6.1390892369672655E-15</v>
      </c>
      <c r="AI56" s="223">
        <f t="shared" si="9"/>
        <v>0</v>
      </c>
      <c r="AJ56" s="220">
        <f t="shared" si="10"/>
        <v>0</v>
      </c>
      <c r="AK56" s="243">
        <f>(SUM($P$31,$P$51)-SUM($AU$17:AU55))*$O$109</f>
        <v>0</v>
      </c>
      <c r="AL56" s="245"/>
      <c r="AM56" s="221">
        <f t="shared" si="11"/>
        <v>0</v>
      </c>
      <c r="AN56" s="161"/>
      <c r="AO56" s="219">
        <f t="shared" si="12"/>
        <v>0</v>
      </c>
      <c r="AP56" s="220">
        <f t="shared" si="13"/>
        <v>0</v>
      </c>
      <c r="AQ56" s="220">
        <f t="shared" si="14"/>
        <v>0</v>
      </c>
      <c r="AR56" s="222">
        <f t="shared" si="15"/>
        <v>0</v>
      </c>
      <c r="AS56" s="223">
        <f t="shared" si="16"/>
        <v>0</v>
      </c>
      <c r="AT56" s="222">
        <f t="shared" si="17"/>
        <v>0</v>
      </c>
      <c r="AU56" s="222">
        <f t="shared" si="18"/>
        <v>0</v>
      </c>
      <c r="AV56" s="222">
        <f t="shared" si="19"/>
        <v>0</v>
      </c>
      <c r="AW56" s="222">
        <f t="shared" si="20"/>
        <v>0</v>
      </c>
      <c r="AX56" s="222">
        <f t="shared" si="21"/>
        <v>0</v>
      </c>
      <c r="AY56" s="222">
        <f t="shared" si="22"/>
        <v>0</v>
      </c>
      <c r="AZ56" s="222">
        <f>IF(AND(SUM($AQ$16:AQ55)&gt;0,SUM($AZ$16:AZ55)&lt;$P$62,$W56&gt;=$P$65),$P$64,0)</f>
        <v>0</v>
      </c>
      <c r="BA56" s="222">
        <f>IF(SUM($AQ$17:$AQ55)&gt;0,($P$62-SUM($AZ$17:$AZ55))*$F$65,0)</f>
        <v>7.6738615462090819E-16</v>
      </c>
      <c r="BB56" s="223">
        <f t="shared" si="23"/>
        <v>0</v>
      </c>
      <c r="BC56" s="220">
        <f t="shared" si="24"/>
        <v>0</v>
      </c>
      <c r="BD56" s="221">
        <f t="shared" si="25"/>
        <v>0</v>
      </c>
      <c r="BE56" s="48"/>
      <c r="BF56" s="47">
        <f t="shared" si="43"/>
        <v>0.25590187448320723</v>
      </c>
      <c r="BH56" s="219">
        <f t="shared" si="26"/>
        <v>0</v>
      </c>
      <c r="BI56" s="219">
        <f t="shared" si="27"/>
        <v>0</v>
      </c>
      <c r="BJ56" s="220">
        <f t="shared" si="28"/>
        <v>0</v>
      </c>
      <c r="BK56" s="220">
        <f t="shared" si="29"/>
        <v>0</v>
      </c>
      <c r="BL56" s="220">
        <f t="shared" si="30"/>
        <v>0</v>
      </c>
      <c r="BM56" s="222">
        <f t="shared" si="31"/>
        <v>0</v>
      </c>
      <c r="BN56" s="223">
        <f t="shared" si="32"/>
        <v>0</v>
      </c>
      <c r="BO56" s="220">
        <f t="shared" si="33"/>
        <v>0</v>
      </c>
      <c r="BP56" s="220">
        <f t="shared" si="34"/>
        <v>0</v>
      </c>
      <c r="BQ56" s="220">
        <f t="shared" si="35"/>
        <v>0</v>
      </c>
      <c r="BR56" s="220">
        <f t="shared" si="36"/>
        <v>0</v>
      </c>
      <c r="BS56" s="220">
        <f t="shared" si="37"/>
        <v>0</v>
      </c>
      <c r="BT56" s="220">
        <f t="shared" si="38"/>
        <v>0</v>
      </c>
      <c r="BU56" s="223">
        <f t="shared" si="39"/>
        <v>0</v>
      </c>
      <c r="BV56" s="223">
        <f t="shared" si="40"/>
        <v>0</v>
      </c>
      <c r="BW56" s="163"/>
      <c r="BX56" s="155">
        <f t="shared" si="41"/>
        <v>0</v>
      </c>
      <c r="BY56" s="273">
        <f t="shared" si="44"/>
        <v>0</v>
      </c>
    </row>
    <row r="57" spans="1:77" ht="15.75" customHeight="1" thickBot="1">
      <c r="V57" s="19"/>
      <c r="Y57" s="246"/>
      <c r="Z57" s="246"/>
      <c r="AA57" s="224"/>
      <c r="AB57" s="224"/>
      <c r="AC57" s="224"/>
      <c r="AD57" s="224"/>
      <c r="AE57" s="224"/>
      <c r="AF57" s="224"/>
      <c r="AG57" s="222"/>
      <c r="AH57" s="220"/>
      <c r="AI57" s="224"/>
      <c r="AJ57" s="224"/>
      <c r="AK57" s="224"/>
      <c r="AL57" s="224"/>
      <c r="AM57" s="224"/>
      <c r="AN57" s="163"/>
      <c r="AO57" s="224"/>
      <c r="AP57" s="224"/>
      <c r="AQ57" s="224"/>
      <c r="AR57" s="224"/>
      <c r="AS57" s="224"/>
      <c r="AT57" s="224"/>
      <c r="AU57" s="224"/>
      <c r="AV57" s="224"/>
      <c r="AW57" s="224"/>
      <c r="AX57" s="224"/>
      <c r="AY57" s="224"/>
      <c r="AZ57" s="224"/>
      <c r="BA57" s="224"/>
      <c r="BB57" s="224"/>
      <c r="BC57" s="224"/>
      <c r="BD57" s="224"/>
      <c r="BH57" s="224"/>
      <c r="BI57" s="224"/>
      <c r="BJ57" s="224"/>
      <c r="BK57" s="224"/>
      <c r="BL57" s="224"/>
      <c r="BM57" s="224"/>
      <c r="BN57" s="224"/>
      <c r="BO57" s="224"/>
      <c r="BP57" s="224"/>
      <c r="BQ57" s="224"/>
      <c r="BR57" s="224"/>
      <c r="BS57" s="224"/>
      <c r="BT57" s="224"/>
      <c r="BU57" s="224"/>
      <c r="BV57" s="224"/>
      <c r="BW57" s="163"/>
      <c r="BX57" s="163"/>
    </row>
    <row r="58" spans="1:77" ht="15.75" customHeight="1" thickTop="1">
      <c r="A58" s="4" t="s">
        <v>156</v>
      </c>
      <c r="E58" t="s">
        <v>2</v>
      </c>
      <c r="F58" t="s">
        <v>50</v>
      </c>
      <c r="J58" s="4" t="s">
        <v>156</v>
      </c>
      <c r="X58" s="142" t="s">
        <v>10</v>
      </c>
      <c r="Y58" s="225">
        <f t="shared" ref="Y58:AK58" si="45">SUM(Y16:Y56)</f>
        <v>855</v>
      </c>
      <c r="Z58" s="225">
        <f t="shared" si="45"/>
        <v>448.875</v>
      </c>
      <c r="AA58" s="225">
        <f t="shared" si="45"/>
        <v>1496.25</v>
      </c>
      <c r="AB58" s="225">
        <f t="shared" si="45"/>
        <v>0</v>
      </c>
      <c r="AC58" s="225">
        <f t="shared" si="45"/>
        <v>1303.875</v>
      </c>
      <c r="AD58" s="225">
        <f t="shared" si="45"/>
        <v>2850</v>
      </c>
      <c r="AE58" s="225">
        <f t="shared" si="45"/>
        <v>1000</v>
      </c>
      <c r="AF58" s="225">
        <f t="shared" si="45"/>
        <v>230</v>
      </c>
      <c r="AG58" s="225">
        <f t="shared" si="45"/>
        <v>1496.2500000000005</v>
      </c>
      <c r="AH58" s="225">
        <f t="shared" si="45"/>
        <v>302.99062499999985</v>
      </c>
      <c r="AI58" s="225">
        <f t="shared" si="45"/>
        <v>4080</v>
      </c>
      <c r="AJ58" s="232">
        <f t="shared" si="45"/>
        <v>-2776.125</v>
      </c>
      <c r="AK58" s="232">
        <f t="shared" si="45"/>
        <v>298.90419544380313</v>
      </c>
      <c r="AL58" s="225">
        <f>SUM(AJ58,AL16)</f>
        <v>-3720.029195443803</v>
      </c>
      <c r="AM58" s="232">
        <f>SUM(AM16:AM56)</f>
        <v>-3140.0729352319427</v>
      </c>
      <c r="AN58" s="163"/>
      <c r="AO58" s="225">
        <f t="shared" ref="AO58:BD58" si="46">SUM(AO16:AO56)</f>
        <v>855</v>
      </c>
      <c r="AP58" s="225">
        <f t="shared" si="46"/>
        <v>128.25</v>
      </c>
      <c r="AQ58" s="225">
        <f t="shared" si="46"/>
        <v>427.5</v>
      </c>
      <c r="AR58" s="225">
        <f t="shared" si="46"/>
        <v>0</v>
      </c>
      <c r="AS58" s="225">
        <f t="shared" si="46"/>
        <v>983.25</v>
      </c>
      <c r="AT58" s="225">
        <f t="shared" si="46"/>
        <v>1425</v>
      </c>
      <c r="AU58" s="225">
        <f t="shared" si="46"/>
        <v>1570</v>
      </c>
      <c r="AV58" s="225">
        <f t="shared" si="46"/>
        <v>733.54076524441973</v>
      </c>
      <c r="AW58" s="225">
        <f t="shared" si="46"/>
        <v>950</v>
      </c>
      <c r="AX58" s="225">
        <f t="shared" si="46"/>
        <v>163</v>
      </c>
      <c r="AY58" s="225">
        <f t="shared" si="46"/>
        <v>303.60000000000008</v>
      </c>
      <c r="AZ58" s="225">
        <f t="shared" si="46"/>
        <v>427.49999999999994</v>
      </c>
      <c r="BA58" s="225">
        <f t="shared" si="46"/>
        <v>86.568750000000009</v>
      </c>
      <c r="BB58" s="225">
        <f t="shared" si="46"/>
        <v>5145.1407652444213</v>
      </c>
      <c r="BC58" s="232">
        <f t="shared" si="46"/>
        <v>-4161.8907652444213</v>
      </c>
      <c r="BD58" s="232">
        <f t="shared" si="46"/>
        <v>-2806.1942071403137</v>
      </c>
      <c r="BH58" s="225">
        <f t="shared" ref="BH58:BV58" si="47">SUM(BH16:BH56)</f>
        <v>1425</v>
      </c>
      <c r="BI58" s="225">
        <f t="shared" si="47"/>
        <v>1570</v>
      </c>
      <c r="BJ58" s="225">
        <f t="shared" si="47"/>
        <v>733.54076524441973</v>
      </c>
      <c r="BK58" s="225">
        <f t="shared" si="47"/>
        <v>950</v>
      </c>
      <c r="BL58" s="225">
        <f t="shared" si="47"/>
        <v>303.60000000000008</v>
      </c>
      <c r="BM58" s="225">
        <f t="shared" si="47"/>
        <v>0</v>
      </c>
      <c r="BN58" s="225">
        <f t="shared" si="47"/>
        <v>4982.1407652444213</v>
      </c>
      <c r="BO58" s="225">
        <f t="shared" si="47"/>
        <v>2850</v>
      </c>
      <c r="BP58" s="225">
        <f t="shared" si="47"/>
        <v>950</v>
      </c>
      <c r="BQ58" s="225">
        <f t="shared" si="47"/>
        <v>533.96765443965148</v>
      </c>
      <c r="BR58" s="225">
        <f t="shared" si="47"/>
        <v>345</v>
      </c>
      <c r="BS58" s="225">
        <f t="shared" si="47"/>
        <v>200</v>
      </c>
      <c r="BT58" s="225">
        <f t="shared" si="47"/>
        <v>3.9600000000000013</v>
      </c>
      <c r="BU58" s="225">
        <f t="shared" si="47"/>
        <v>4348.9599999999982</v>
      </c>
      <c r="BV58" s="225">
        <f t="shared" si="47"/>
        <v>633.18076524442017</v>
      </c>
      <c r="BW58" s="163"/>
      <c r="BX58" s="165">
        <f>SUM(BX16:BX56)</f>
        <v>1570</v>
      </c>
    </row>
    <row r="59" spans="1:77" ht="15.75" customHeight="1">
      <c r="B59" t="s">
        <v>157</v>
      </c>
      <c r="C59" s="282" t="s">
        <v>158</v>
      </c>
      <c r="D59" t="s">
        <v>7</v>
      </c>
      <c r="E59" s="21">
        <f>O62</f>
        <v>1496.25</v>
      </c>
      <c r="F59" s="21">
        <f>P62</f>
        <v>427.5</v>
      </c>
      <c r="J59" s="4" t="s">
        <v>157</v>
      </c>
      <c r="O59" t="s">
        <v>2</v>
      </c>
      <c r="P59" t="s">
        <v>50</v>
      </c>
      <c r="AL59" s="31" t="s">
        <v>159</v>
      </c>
      <c r="AM59" s="31"/>
    </row>
    <row r="60" spans="1:77" ht="15.75" customHeight="1">
      <c r="C60" s="283" t="s">
        <v>160</v>
      </c>
      <c r="D60" t="s">
        <v>38</v>
      </c>
      <c r="E60" s="138">
        <v>0.3</v>
      </c>
      <c r="F60" s="138">
        <v>0.3</v>
      </c>
      <c r="K60" t="s">
        <v>161</v>
      </c>
      <c r="N60" s="19" t="s">
        <v>7</v>
      </c>
      <c r="O60" s="51">
        <f>O29</f>
        <v>2850</v>
      </c>
      <c r="P60" s="51">
        <f>P29</f>
        <v>2850</v>
      </c>
      <c r="V60" s="19"/>
      <c r="Y60"/>
      <c r="Z60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31"/>
      <c r="AL60" s="31" t="s">
        <v>162</v>
      </c>
      <c r="AM60" s="31"/>
      <c r="AO60" s="31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</row>
    <row r="61" spans="1:77" ht="20.25" customHeight="1">
      <c r="C61" s="283" t="s">
        <v>163</v>
      </c>
      <c r="D61" t="s">
        <v>38</v>
      </c>
      <c r="E61" s="3">
        <v>0.3</v>
      </c>
      <c r="F61" s="3">
        <v>0.3</v>
      </c>
      <c r="K61" t="s">
        <v>62</v>
      </c>
      <c r="N61" s="19" t="s">
        <v>7</v>
      </c>
      <c r="O61" s="51">
        <f>O60*$E$60</f>
        <v>855</v>
      </c>
      <c r="P61" s="51">
        <f>P60*$F$60</f>
        <v>855</v>
      </c>
      <c r="V61" s="19"/>
      <c r="Y61"/>
      <c r="Z61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31"/>
      <c r="AL61" s="31"/>
      <c r="AM61" s="31"/>
      <c r="AO61" s="31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</row>
    <row r="62" spans="1:77" ht="15.75" customHeight="1">
      <c r="C62" s="283" t="s">
        <v>164</v>
      </c>
      <c r="D62" t="s">
        <v>38</v>
      </c>
      <c r="E62" s="3">
        <v>0.75</v>
      </c>
      <c r="F62" s="3">
        <v>0.75</v>
      </c>
      <c r="J62" s="4"/>
      <c r="K62" t="s">
        <v>165</v>
      </c>
      <c r="N62" s="19" t="s">
        <v>7</v>
      </c>
      <c r="O62" s="51">
        <f>(O60-O61)*$E$62</f>
        <v>1496.25</v>
      </c>
      <c r="P62" s="51">
        <f>(P30-P61)*$F$62</f>
        <v>427.5</v>
      </c>
      <c r="V62" s="19"/>
    </row>
    <row r="63" spans="1:77" ht="15.75" customHeight="1">
      <c r="C63" s="283" t="s">
        <v>166</v>
      </c>
      <c r="D63" t="s">
        <v>91</v>
      </c>
      <c r="E63" s="1">
        <v>3</v>
      </c>
      <c r="F63" s="1">
        <v>3</v>
      </c>
      <c r="K63" t="s">
        <v>167</v>
      </c>
      <c r="N63" s="19" t="s">
        <v>7</v>
      </c>
      <c r="O63" s="51">
        <f>O62*$E$61</f>
        <v>448.875</v>
      </c>
      <c r="P63" s="51">
        <f>P62*$F$61</f>
        <v>128.25</v>
      </c>
      <c r="V63" s="19"/>
    </row>
    <row r="64" spans="1:77" ht="15.75" customHeight="1">
      <c r="C64" s="284" t="s">
        <v>168</v>
      </c>
      <c r="D64" t="s">
        <v>91</v>
      </c>
      <c r="E64" s="1">
        <v>23</v>
      </c>
      <c r="F64" s="1">
        <v>23</v>
      </c>
      <c r="K64" t="s">
        <v>169</v>
      </c>
      <c r="N64" s="19" t="s">
        <v>7</v>
      </c>
      <c r="O64" s="51">
        <f>O62/$E$64</f>
        <v>65.054347826086953</v>
      </c>
      <c r="P64" s="51">
        <f>P62/$F$64</f>
        <v>18.586956521739129</v>
      </c>
      <c r="V64" s="19"/>
    </row>
    <row r="65" spans="1:23" ht="15.75" customHeight="1">
      <c r="C65" s="284" t="s">
        <v>170</v>
      </c>
      <c r="D65" t="s">
        <v>38</v>
      </c>
      <c r="E65" s="53">
        <v>1.35E-2</v>
      </c>
      <c r="F65" s="53">
        <v>1.35E-2</v>
      </c>
      <c r="K65" s="282" t="s">
        <v>171</v>
      </c>
      <c r="N65" s="19" t="s">
        <v>172</v>
      </c>
      <c r="O65" s="285">
        <f>$F$16+E63+1</f>
        <v>7</v>
      </c>
      <c r="P65" s="285">
        <f>$F$16+F63+1</f>
        <v>7</v>
      </c>
    </row>
    <row r="66" spans="1:23" ht="15.75" customHeight="1">
      <c r="B66" t="s">
        <v>173</v>
      </c>
      <c r="C66" s="19"/>
      <c r="J66" s="4" t="s">
        <v>173</v>
      </c>
      <c r="P66" t="s">
        <v>50</v>
      </c>
    </row>
    <row r="67" spans="1:23" ht="15.75" customHeight="1">
      <c r="E67" t="s">
        <v>2</v>
      </c>
      <c r="F67" t="s">
        <v>50</v>
      </c>
      <c r="K67" t="s">
        <v>174</v>
      </c>
      <c r="O67" s="19"/>
      <c r="P67" s="109">
        <f>SUM(F69:F70)</f>
        <v>2.9661200140502782E-2</v>
      </c>
    </row>
    <row r="68" spans="1:23" ht="15.75" customHeight="1">
      <c r="C68" t="s">
        <v>158</v>
      </c>
      <c r="D68" t="s">
        <v>7</v>
      </c>
      <c r="F68" s="21">
        <f>P31</f>
        <v>1425</v>
      </c>
    </row>
    <row r="69" spans="1:23" ht="15.75" customHeight="1">
      <c r="C69" t="s">
        <v>114</v>
      </c>
      <c r="D69" t="s">
        <v>38</v>
      </c>
      <c r="F69" s="281">
        <f>F35</f>
        <v>1.4661200140502781E-2</v>
      </c>
      <c r="H69" s="55" t="s">
        <v>234</v>
      </c>
    </row>
    <row r="70" spans="1:23" ht="15.75" customHeight="1">
      <c r="C70" t="s">
        <v>119</v>
      </c>
      <c r="D70" t="s">
        <v>38</v>
      </c>
      <c r="F70" s="16">
        <v>1.4999999999999999E-2</v>
      </c>
    </row>
    <row r="71" spans="1:23" ht="15.75" customHeight="1">
      <c r="C71" s="55" t="s">
        <v>176</v>
      </c>
      <c r="D71" t="s">
        <v>38</v>
      </c>
    </row>
    <row r="72" spans="1:23" ht="15.75" customHeight="1">
      <c r="A72" s="4" t="s">
        <v>177</v>
      </c>
      <c r="J72" s="4" t="s">
        <v>177</v>
      </c>
    </row>
    <row r="73" spans="1:23" ht="15.75" customHeight="1">
      <c r="C73" t="s">
        <v>179</v>
      </c>
      <c r="O73" s="19"/>
      <c r="P73" s="19"/>
      <c r="R73" s="4" t="s">
        <v>178</v>
      </c>
      <c r="S73" s="4"/>
      <c r="T73" s="4"/>
    </row>
    <row r="74" spans="1:23" ht="15.75" customHeight="1">
      <c r="C74" s="2" t="s">
        <v>181</v>
      </c>
      <c r="D74" t="s">
        <v>7</v>
      </c>
      <c r="F74" s="259">
        <v>0</v>
      </c>
      <c r="H74" t="s">
        <v>203</v>
      </c>
      <c r="O74" s="19"/>
      <c r="P74" s="5" t="s">
        <v>179</v>
      </c>
      <c r="U74" s="4" t="s">
        <v>180</v>
      </c>
    </row>
    <row r="75" spans="1:23" ht="15.75" customHeight="1">
      <c r="C75" s="2" t="s">
        <v>185</v>
      </c>
      <c r="D75" t="s">
        <v>38</v>
      </c>
      <c r="F75" s="111">
        <v>0</v>
      </c>
      <c r="H75" t="s">
        <v>186</v>
      </c>
      <c r="N75" t="s">
        <v>183</v>
      </c>
      <c r="O75" s="2"/>
      <c r="P75" s="20">
        <f>F74</f>
        <v>0</v>
      </c>
      <c r="S75" t="s">
        <v>184</v>
      </c>
      <c r="T75" s="19" t="s">
        <v>7</v>
      </c>
      <c r="U75" s="20">
        <f>F90</f>
        <v>0</v>
      </c>
    </row>
    <row r="76" spans="1:23" ht="15.75" customHeight="1">
      <c r="C76" t="s">
        <v>188</v>
      </c>
      <c r="N76" t="s">
        <v>187</v>
      </c>
      <c r="O76" s="2"/>
      <c r="P76" s="114">
        <f>F75</f>
        <v>0</v>
      </c>
      <c r="S76" t="s">
        <v>187</v>
      </c>
      <c r="T76" t="s">
        <v>38</v>
      </c>
      <c r="U76" s="114">
        <f>F91</f>
        <v>0</v>
      </c>
      <c r="W76" s="112"/>
    </row>
    <row r="77" spans="1:23" ht="15.75" customHeight="1">
      <c r="C77" s="2" t="s">
        <v>189</v>
      </c>
      <c r="D77" t="s">
        <v>7</v>
      </c>
      <c r="F77" s="110">
        <v>0.18</v>
      </c>
      <c r="H77" t="s">
        <v>190</v>
      </c>
      <c r="N77" t="s">
        <v>189</v>
      </c>
      <c r="O77" s="2" t="s">
        <v>7</v>
      </c>
      <c r="P77" s="115">
        <f>P75*P76</f>
        <v>0</v>
      </c>
      <c r="S77" t="s">
        <v>189</v>
      </c>
      <c r="T77" s="19" t="s">
        <v>7</v>
      </c>
      <c r="U77" s="115">
        <f>U75*U76</f>
        <v>0</v>
      </c>
    </row>
    <row r="78" spans="1:23" ht="15.75" customHeight="1">
      <c r="N78"/>
      <c r="O78" s="2"/>
      <c r="P78" s="5" t="s">
        <v>188</v>
      </c>
      <c r="T78" s="19"/>
      <c r="U78" s="4" t="s">
        <v>191</v>
      </c>
    </row>
    <row r="79" spans="1:23" ht="15.75" customHeight="1">
      <c r="C79" t="s">
        <v>192</v>
      </c>
      <c r="N79" t="s">
        <v>189</v>
      </c>
      <c r="O79" s="2" t="s">
        <v>7</v>
      </c>
      <c r="P79" s="116">
        <f>F77</f>
        <v>0.18</v>
      </c>
      <c r="S79" t="s">
        <v>184</v>
      </c>
      <c r="T79" s="19" t="s">
        <v>7</v>
      </c>
      <c r="U79" s="20">
        <f>F93</f>
        <v>0</v>
      </c>
    </row>
    <row r="80" spans="1:23" ht="15.75" customHeight="1">
      <c r="C80" s="2" t="s">
        <v>184</v>
      </c>
      <c r="D80" t="s">
        <v>7</v>
      </c>
      <c r="F80" s="110">
        <v>0</v>
      </c>
      <c r="H80" t="s">
        <v>193</v>
      </c>
      <c r="O80" s="2"/>
      <c r="P80" s="5" t="s">
        <v>192</v>
      </c>
      <c r="S80" t="s">
        <v>187</v>
      </c>
      <c r="T80" t="s">
        <v>38</v>
      </c>
      <c r="U80" s="114">
        <f>F94</f>
        <v>0</v>
      </c>
    </row>
    <row r="81" spans="3:21" ht="15.75" customHeight="1">
      <c r="C81" s="2" t="s">
        <v>187</v>
      </c>
      <c r="D81" t="s">
        <v>38</v>
      </c>
      <c r="F81" s="132">
        <v>0</v>
      </c>
      <c r="H81" t="s">
        <v>195</v>
      </c>
      <c r="N81" t="s">
        <v>194</v>
      </c>
      <c r="O81" s="2"/>
      <c r="P81" s="20">
        <f>F80</f>
        <v>0</v>
      </c>
      <c r="S81" t="s">
        <v>189</v>
      </c>
      <c r="T81" s="19" t="s">
        <v>7</v>
      </c>
      <c r="U81" s="115">
        <f>U79*U80</f>
        <v>0</v>
      </c>
    </row>
    <row r="82" spans="3:21" ht="15.75" customHeight="1">
      <c r="C82" t="s">
        <v>197</v>
      </c>
      <c r="N82" t="s">
        <v>187</v>
      </c>
      <c r="O82" s="2"/>
      <c r="P82" s="114">
        <f>F81</f>
        <v>0</v>
      </c>
      <c r="T82" s="19"/>
      <c r="U82" s="4" t="s">
        <v>196</v>
      </c>
    </row>
    <row r="83" spans="3:21" ht="15.75" customHeight="1">
      <c r="C83" s="2" t="s">
        <v>184</v>
      </c>
      <c r="D83" t="s">
        <v>7</v>
      </c>
      <c r="F83" s="110">
        <v>0</v>
      </c>
      <c r="H83" t="s">
        <v>193</v>
      </c>
      <c r="N83" t="s">
        <v>189</v>
      </c>
      <c r="O83" s="2" t="s">
        <v>7</v>
      </c>
      <c r="P83" s="115">
        <f>P81*P82</f>
        <v>0</v>
      </c>
      <c r="S83" t="s">
        <v>184</v>
      </c>
      <c r="T83" s="19" t="s">
        <v>7</v>
      </c>
      <c r="U83" s="20">
        <f>F96</f>
        <v>0</v>
      </c>
    </row>
    <row r="84" spans="3:21">
      <c r="C84" s="2" t="s">
        <v>187</v>
      </c>
      <c r="D84" t="s">
        <v>38</v>
      </c>
      <c r="F84" s="132">
        <v>0</v>
      </c>
      <c r="H84" t="s">
        <v>195</v>
      </c>
      <c r="O84" s="2"/>
      <c r="P84" s="5" t="s">
        <v>198</v>
      </c>
      <c r="S84" t="s">
        <v>187</v>
      </c>
      <c r="T84" t="s">
        <v>38</v>
      </c>
      <c r="U84" s="114">
        <f>F97</f>
        <v>0</v>
      </c>
    </row>
    <row r="85" spans="3:21">
      <c r="C85" t="s">
        <v>198</v>
      </c>
      <c r="N85" t="s">
        <v>194</v>
      </c>
      <c r="O85" s="2"/>
      <c r="P85" s="20">
        <f>F83</f>
        <v>0</v>
      </c>
      <c r="S85" t="s">
        <v>189</v>
      </c>
      <c r="T85" s="19" t="s">
        <v>7</v>
      </c>
      <c r="U85" s="115">
        <f>U83*U84</f>
        <v>0</v>
      </c>
    </row>
    <row r="86" spans="3:21">
      <c r="C86" s="2" t="s">
        <v>184</v>
      </c>
      <c r="D86" t="s">
        <v>7</v>
      </c>
      <c r="F86" s="110">
        <v>0</v>
      </c>
      <c r="H86" t="s">
        <v>199</v>
      </c>
      <c r="N86" t="s">
        <v>187</v>
      </c>
      <c r="O86" s="2"/>
      <c r="P86" s="114">
        <f>F87</f>
        <v>0</v>
      </c>
      <c r="T86" s="19"/>
    </row>
    <row r="87" spans="3:21">
      <c r="C87" s="2" t="s">
        <v>187</v>
      </c>
      <c r="D87" t="s">
        <v>38</v>
      </c>
      <c r="F87" s="132">
        <v>0</v>
      </c>
      <c r="H87" t="s">
        <v>195</v>
      </c>
      <c r="N87" t="s">
        <v>189</v>
      </c>
      <c r="O87" s="2" t="s">
        <v>7</v>
      </c>
      <c r="P87" s="115">
        <f>P85*P86</f>
        <v>0</v>
      </c>
      <c r="S87" t="s">
        <v>200</v>
      </c>
      <c r="T87" s="19" t="s">
        <v>7</v>
      </c>
      <c r="U87" s="117">
        <f>IF($F$13="都道府県",P83,0)</f>
        <v>0</v>
      </c>
    </row>
    <row r="88" spans="3:21">
      <c r="C88" t="s">
        <v>202</v>
      </c>
      <c r="N88"/>
      <c r="O88" s="2"/>
      <c r="P88" s="257" t="s">
        <v>197</v>
      </c>
      <c r="S88" t="s">
        <v>201</v>
      </c>
      <c r="T88" s="19" t="s">
        <v>7</v>
      </c>
      <c r="U88" s="68">
        <f>IF($F$13="市町村",P91,0)</f>
        <v>0</v>
      </c>
    </row>
    <row r="89" spans="3:21">
      <c r="C89" t="s">
        <v>180</v>
      </c>
      <c r="N89" t="s">
        <v>194</v>
      </c>
      <c r="O89" s="2"/>
      <c r="P89" s="20">
        <f>F83</f>
        <v>0</v>
      </c>
    </row>
    <row r="90" spans="3:21">
      <c r="C90" s="2" t="s">
        <v>184</v>
      </c>
      <c r="D90" t="s">
        <v>7</v>
      </c>
      <c r="F90" s="259">
        <v>0</v>
      </c>
      <c r="H90" t="s">
        <v>203</v>
      </c>
      <c r="N90" t="s">
        <v>187</v>
      </c>
      <c r="O90" s="2"/>
      <c r="P90" s="114">
        <f>F84</f>
        <v>0</v>
      </c>
    </row>
    <row r="91" spans="3:21">
      <c r="C91" s="2" t="s">
        <v>187</v>
      </c>
      <c r="D91" t="s">
        <v>38</v>
      </c>
      <c r="F91" s="1">
        <v>0</v>
      </c>
      <c r="H91" t="s">
        <v>204</v>
      </c>
      <c r="N91" t="s">
        <v>189</v>
      </c>
      <c r="O91" s="2" t="s">
        <v>7</v>
      </c>
      <c r="P91" s="115">
        <f>P89*P90</f>
        <v>0</v>
      </c>
    </row>
    <row r="92" spans="3:21">
      <c r="C92" t="s">
        <v>207</v>
      </c>
      <c r="K92" s="4" t="s">
        <v>205</v>
      </c>
      <c r="N92"/>
      <c r="O92" s="2"/>
      <c r="R92" s="4" t="s">
        <v>206</v>
      </c>
      <c r="S92" s="4"/>
    </row>
    <row r="93" spans="3:21">
      <c r="C93" s="2" t="s">
        <v>184</v>
      </c>
      <c r="D93" t="s">
        <v>7</v>
      </c>
      <c r="F93" s="259">
        <v>0</v>
      </c>
      <c r="H93" t="s">
        <v>203</v>
      </c>
      <c r="M93" t="s">
        <v>208</v>
      </c>
      <c r="N93" t="s">
        <v>189</v>
      </c>
      <c r="O93" s="2" t="s">
        <v>7</v>
      </c>
      <c r="P93" s="51">
        <f>P79</f>
        <v>0.18</v>
      </c>
      <c r="S93" t="s">
        <v>209</v>
      </c>
      <c r="T93" s="19" t="s">
        <v>7</v>
      </c>
      <c r="U93" s="68">
        <f>SUM(F99,U77,U81,U85,U87:U88)</f>
        <v>0</v>
      </c>
    </row>
    <row r="94" spans="3:21">
      <c r="C94" s="2" t="s">
        <v>187</v>
      </c>
      <c r="D94" t="s">
        <v>38</v>
      </c>
      <c r="F94" s="1">
        <v>0</v>
      </c>
      <c r="H94" t="s">
        <v>204</v>
      </c>
      <c r="M94" t="s">
        <v>209</v>
      </c>
      <c r="N94" t="s">
        <v>189</v>
      </c>
      <c r="O94" s="2" t="s">
        <v>7</v>
      </c>
      <c r="P94" s="51">
        <f>SUM(P77,P79,P83,P87,P91)</f>
        <v>0.18</v>
      </c>
      <c r="S94" t="s">
        <v>210</v>
      </c>
      <c r="T94" s="19" t="s">
        <v>7</v>
      </c>
      <c r="U94" s="68">
        <f>SUM(F100,U77,U81,U85)</f>
        <v>0</v>
      </c>
    </row>
    <row r="95" spans="3:21">
      <c r="C95" s="55" t="s">
        <v>211</v>
      </c>
      <c r="M95" t="s">
        <v>210</v>
      </c>
      <c r="N95" t="s">
        <v>189</v>
      </c>
      <c r="O95" s="2" t="s">
        <v>7</v>
      </c>
      <c r="P95" s="51">
        <f>SUM(P77,P79,P91)</f>
        <v>0.18</v>
      </c>
    </row>
    <row r="96" spans="3:21">
      <c r="C96" s="2" t="s">
        <v>184</v>
      </c>
      <c r="D96" t="s">
        <v>7</v>
      </c>
      <c r="F96" s="259">
        <v>0</v>
      </c>
      <c r="H96" t="s">
        <v>203</v>
      </c>
    </row>
    <row r="97" spans="1:16">
      <c r="C97" s="2" t="s">
        <v>187</v>
      </c>
      <c r="D97" t="s">
        <v>38</v>
      </c>
      <c r="F97" s="1">
        <v>0</v>
      </c>
      <c r="H97" t="s">
        <v>212</v>
      </c>
    </row>
    <row r="99" spans="1:16">
      <c r="C99" t="s">
        <v>213</v>
      </c>
      <c r="D99" t="s">
        <v>7</v>
      </c>
      <c r="F99" s="110">
        <v>0</v>
      </c>
    </row>
    <row r="100" spans="1:16">
      <c r="C100" t="s">
        <v>214</v>
      </c>
      <c r="D100" t="s">
        <v>7</v>
      </c>
      <c r="F100" s="110">
        <v>0</v>
      </c>
    </row>
    <row r="102" spans="1:16">
      <c r="A102" s="4" t="s">
        <v>215</v>
      </c>
      <c r="J102" s="4" t="s">
        <v>216</v>
      </c>
      <c r="O102" t="s">
        <v>2</v>
      </c>
      <c r="P102" t="s">
        <v>50</v>
      </c>
    </row>
    <row r="103" spans="1:16">
      <c r="C103" s="31"/>
      <c r="D103" s="31"/>
      <c r="E103" s="31"/>
      <c r="F103" s="31" t="s">
        <v>49</v>
      </c>
      <c r="K103" t="s">
        <v>235</v>
      </c>
      <c r="N103" s="19" t="s">
        <v>7</v>
      </c>
      <c r="O103" s="51">
        <f>F104</f>
        <v>100</v>
      </c>
      <c r="P103" s="52"/>
    </row>
    <row r="104" spans="1:16">
      <c r="C104" s="93" t="s">
        <v>138</v>
      </c>
      <c r="D104" t="s">
        <v>7</v>
      </c>
      <c r="F104" s="1">
        <v>100</v>
      </c>
      <c r="K104" t="s">
        <v>236</v>
      </c>
      <c r="N104" s="19" t="s">
        <v>7</v>
      </c>
      <c r="O104" s="51">
        <f>F105*O16</f>
        <v>345</v>
      </c>
      <c r="P104" s="52"/>
    </row>
    <row r="105" spans="1:16">
      <c r="C105" s="93" t="s">
        <v>219</v>
      </c>
      <c r="D105" t="s">
        <v>7</v>
      </c>
      <c r="F105" s="1">
        <v>15</v>
      </c>
      <c r="K105" t="s">
        <v>237</v>
      </c>
      <c r="N105" s="19" t="s">
        <v>7</v>
      </c>
      <c r="O105" s="51">
        <f>F106</f>
        <v>100</v>
      </c>
      <c r="P105" s="52"/>
    </row>
    <row r="106" spans="1:16">
      <c r="C106" s="93" t="s">
        <v>221</v>
      </c>
      <c r="D106" t="s">
        <v>7</v>
      </c>
      <c r="F106" s="1">
        <v>100</v>
      </c>
      <c r="K106" t="s">
        <v>238</v>
      </c>
      <c r="M106" t="s">
        <v>239</v>
      </c>
      <c r="N106"/>
      <c r="O106" s="278"/>
    </row>
    <row r="107" spans="1:16">
      <c r="M107" t="s">
        <v>223</v>
      </c>
      <c r="N107" s="19" t="s">
        <v>38</v>
      </c>
      <c r="O107" s="279">
        <f>F65</f>
        <v>1.35E-2</v>
      </c>
      <c r="P107" s="52"/>
    </row>
    <row r="108" spans="1:16">
      <c r="M108" t="s">
        <v>224</v>
      </c>
      <c r="N108" s="19" t="s">
        <v>38</v>
      </c>
      <c r="O108" s="280">
        <f>P67</f>
        <v>2.9661200140502782E-2</v>
      </c>
      <c r="P108" s="52"/>
    </row>
    <row r="109" spans="1:16">
      <c r="M109" t="s">
        <v>225</v>
      </c>
      <c r="N109" s="19" t="s">
        <v>38</v>
      </c>
      <c r="O109" s="279">
        <f>O108-O107</f>
        <v>1.6161200140502784E-2</v>
      </c>
      <c r="P109" s="52"/>
    </row>
    <row r="110" spans="1:16">
      <c r="M110" s="94" t="s">
        <v>226</v>
      </c>
      <c r="N110" t="s">
        <v>7</v>
      </c>
      <c r="O110" s="51">
        <f>SUM(AK17:AK46)</f>
        <v>298.90419544380313</v>
      </c>
      <c r="P110" s="52"/>
    </row>
    <row r="112" spans="1:16" s="254" customFormat="1" ht="17" customHeight="1" thickBot="1">
      <c r="B112" s="254" t="s">
        <v>227</v>
      </c>
      <c r="I112" s="255"/>
    </row>
    <row r="113" ht="19" hidden="1" customHeight="1" thickTop="1"/>
  </sheetData>
  <phoneticPr fontId="2"/>
  <dataValidations count="2">
    <dataValidation type="list" showInputMessage="1" showErrorMessage="1" sqref="F13" xr:uid="{00000000-0002-0000-0500-000000000000}">
      <formula1>$O$13:$Q$13</formula1>
    </dataValidation>
    <dataValidation type="list" showInputMessage="1" showErrorMessage="1" sqref="F47" xr:uid="{00000000-0002-0000-0500-000001000000}">
      <formula1>$G$47:$G$48</formula1>
    </dataValidation>
  </dataValidations>
  <pageMargins left="0.23622047244094491" right="0.23622047244094491" top="0.74803149606299213" bottom="0.74803149606299213" header="0.31496062992125978" footer="0.31496062992125978"/>
  <pageSetup paperSize="8" scale="42" fitToWidth="0" orientation="landscape"/>
  <colBreaks count="2" manualBreakCount="2">
    <brk id="21" max="124" man="1"/>
    <brk id="58" max="12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  <pageSetUpPr fitToPage="1"/>
  </sheetPr>
  <dimension ref="A1:CM113"/>
  <sheetViews>
    <sheetView showGridLines="0" view="pageBreakPreview" topLeftCell="U1" zoomScale="70" zoomScaleNormal="55" zoomScaleSheetLayoutView="70" workbookViewId="0">
      <selection activeCell="AH17" sqref="AH17:AH56"/>
    </sheetView>
  </sheetViews>
  <sheetFormatPr baseColWidth="10" defaultColWidth="0" defaultRowHeight="18" zeroHeight="1" outlineLevelCol="1"/>
  <cols>
    <col min="1" max="1" width="4.83203125" style="286" customWidth="1"/>
    <col min="2" max="2" width="40.6640625" style="286" customWidth="1"/>
    <col min="3" max="3" width="40.1640625" style="286" bestFit="1" customWidth="1"/>
    <col min="4" max="4" width="7.33203125" style="286" customWidth="1"/>
    <col min="5" max="5" width="8.5" style="286" bestFit="1" customWidth="1"/>
    <col min="6" max="6" width="11.5" style="286" customWidth="1"/>
    <col min="7" max="7" width="2.5" style="286" customWidth="1"/>
    <col min="8" max="8" width="43.6640625" style="286" customWidth="1"/>
    <col min="9" max="9" width="1.6640625" style="286" customWidth="1"/>
    <col min="10" max="11" width="12.5" style="286" customWidth="1" outlineLevel="1"/>
    <col min="12" max="12" width="1.83203125" style="286" customWidth="1" outlineLevel="1"/>
    <col min="13" max="13" width="42.1640625" style="286" customWidth="1" outlineLevel="1"/>
    <col min="14" max="14" width="11.1640625" style="19" customWidth="1" outlineLevel="1"/>
    <col min="15" max="16" width="24.5" style="286" customWidth="1" outlineLevel="1"/>
    <col min="17" max="17" width="4.6640625" style="286" customWidth="1" outlineLevel="1"/>
    <col min="18" max="18" width="10" style="286" customWidth="1" outlineLevel="1"/>
    <col min="19" max="19" width="19.1640625" style="286" customWidth="1" outlineLevel="1"/>
    <col min="20" max="20" width="7.5" style="286" customWidth="1" outlineLevel="1"/>
    <col min="21" max="21" width="24.5" style="286" customWidth="1" outlineLevel="1"/>
    <col min="22" max="22" width="12" style="286" customWidth="1"/>
    <col min="23" max="23" width="9.6640625" style="286" customWidth="1"/>
    <col min="24" max="24" width="21.5" style="286" customWidth="1"/>
    <col min="25" max="26" width="10.83203125" style="286" customWidth="1"/>
    <col min="27" max="36" width="10.83203125" style="19" customWidth="1"/>
    <col min="37" max="38" width="10.83203125" style="31" customWidth="1"/>
    <col min="39" max="39" width="12" style="31" customWidth="1"/>
    <col min="40" max="40" width="1.6640625" style="31" customWidth="1"/>
    <col min="41" max="41" width="10.33203125" style="31" customWidth="1"/>
    <col min="42" max="45" width="10.33203125" style="19" customWidth="1"/>
    <col min="46" max="49" width="16" style="19" customWidth="1"/>
    <col min="50" max="54" width="10.6640625" style="19" customWidth="1"/>
    <col min="55" max="56" width="12" style="19" customWidth="1"/>
    <col min="57" max="57" width="1.6640625" style="19" customWidth="1"/>
    <col min="58" max="58" width="12" style="31" customWidth="1"/>
    <col min="59" max="59" width="1.5" style="19" customWidth="1"/>
    <col min="60" max="63" width="16" style="19" customWidth="1"/>
    <col min="64" max="70" width="12" style="19" customWidth="1"/>
    <col min="71" max="71" width="16.83203125" style="19" customWidth="1"/>
    <col min="72" max="74" width="12" style="19" customWidth="1"/>
    <col min="75" max="75" width="2.1640625" style="19" customWidth="1"/>
    <col min="76" max="76" width="12" style="19" customWidth="1"/>
    <col min="77" max="77" width="20.6640625" style="19" bestFit="1" customWidth="1"/>
    <col min="78" max="78" width="3.33203125" style="19" hidden="1" customWidth="1"/>
    <col min="79" max="79" width="0" style="19" hidden="1" customWidth="1"/>
    <col min="80" max="91" width="0" style="286" hidden="1" customWidth="1"/>
    <col min="92" max="92" width="9" style="286" hidden="1" customWidth="1"/>
    <col min="93" max="16384" width="9" style="286" hidden="1"/>
  </cols>
  <sheetData>
    <row r="1" spans="1:79" ht="15.75" customHeight="1"/>
    <row r="2" spans="1:79">
      <c r="B2" s="4" t="s">
        <v>24</v>
      </c>
      <c r="Y2" s="233"/>
      <c r="Z2" s="2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26"/>
      <c r="AL2" s="226"/>
      <c r="AM2" s="226"/>
      <c r="AO2" s="226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</row>
    <row r="3" spans="1:79">
      <c r="B3" s="260" t="s">
        <v>25</v>
      </c>
      <c r="Y3" s="233"/>
      <c r="Z3" s="2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226"/>
      <c r="AL3" s="226"/>
      <c r="AM3" s="226"/>
      <c r="AO3" s="226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</row>
    <row r="4" spans="1:79">
      <c r="B4" s="261" t="s">
        <v>26</v>
      </c>
      <c r="Y4" s="233"/>
      <c r="Z4" s="2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26"/>
      <c r="AL4" s="226"/>
      <c r="AM4" s="226"/>
      <c r="AO4" s="226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</row>
    <row r="5" spans="1:79" ht="15.75" customHeight="1">
      <c r="B5" s="262" t="s">
        <v>27</v>
      </c>
      <c r="Y5" s="233"/>
      <c r="Z5" s="2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226"/>
      <c r="AL5" s="226"/>
      <c r="AM5" s="226"/>
      <c r="AO5" s="226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</row>
    <row r="6" spans="1:79" ht="15.75" customHeight="1">
      <c r="Y6" s="233"/>
      <c r="Z6" s="2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226"/>
      <c r="AL6" s="226"/>
      <c r="AM6" s="226"/>
      <c r="AO6" s="226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pans="1:79" s="4" customFormat="1" ht="15.75" customHeight="1">
      <c r="A7" s="25" t="s">
        <v>28</v>
      </c>
      <c r="B7" s="25"/>
      <c r="C7" s="25"/>
      <c r="D7" s="25"/>
      <c r="E7" s="25"/>
      <c r="F7" s="25"/>
      <c r="G7" s="25"/>
      <c r="H7" s="25"/>
      <c r="I7" s="25"/>
      <c r="J7" s="24" t="s">
        <v>29</v>
      </c>
      <c r="K7" s="24"/>
      <c r="L7" s="24"/>
      <c r="M7" s="24"/>
      <c r="N7" s="84"/>
      <c r="O7" s="24"/>
      <c r="P7" s="24"/>
      <c r="Q7" s="24"/>
      <c r="R7" s="24"/>
      <c r="S7" s="24"/>
      <c r="T7" s="24"/>
      <c r="U7" s="24"/>
      <c r="V7" s="22" t="s">
        <v>30</v>
      </c>
      <c r="W7" s="22"/>
      <c r="X7" s="22"/>
      <c r="Y7" s="22"/>
      <c r="Z7" s="22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30"/>
      <c r="AL7" s="30"/>
      <c r="AM7" s="30"/>
      <c r="AN7" s="30"/>
      <c r="AO7" s="30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30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</row>
    <row r="8" spans="1:79" s="4" customFormat="1" ht="15.75" customHeight="1">
      <c r="A8" s="247"/>
      <c r="B8" s="263" t="s">
        <v>31</v>
      </c>
      <c r="C8" s="247"/>
      <c r="D8" s="247"/>
      <c r="E8" s="247"/>
      <c r="F8" s="247"/>
      <c r="G8" s="247"/>
      <c r="H8" s="247"/>
      <c r="I8" s="247"/>
      <c r="N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250"/>
      <c r="AL8" s="250"/>
      <c r="AM8" s="250"/>
      <c r="AN8" s="250"/>
      <c r="AO8" s="250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250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1:79" ht="15.75" customHeight="1" thickBot="1">
      <c r="W9" s="54" t="s">
        <v>32</v>
      </c>
      <c r="X9" s="49"/>
      <c r="Y9" s="49"/>
      <c r="AC9" s="8" t="s">
        <v>33</v>
      </c>
    </row>
    <row r="10" spans="1:79" ht="15.75" customHeight="1">
      <c r="D10" t="s">
        <v>34</v>
      </c>
      <c r="K10" s="19"/>
      <c r="L10" s="19"/>
      <c r="M10" s="19"/>
      <c r="N10" s="19" t="s">
        <v>34</v>
      </c>
      <c r="O10" s="19"/>
      <c r="P10" s="19"/>
      <c r="Q10" s="19" t="s">
        <v>35</v>
      </c>
      <c r="R10" s="19"/>
      <c r="S10" s="19"/>
      <c r="T10" s="19"/>
      <c r="U10" s="19"/>
      <c r="W10" s="10" t="s">
        <v>36</v>
      </c>
      <c r="X10" s="11" t="s">
        <v>37</v>
      </c>
      <c r="Y10" s="12" t="s">
        <v>38</v>
      </c>
      <c r="AC10" s="9" t="s">
        <v>39</v>
      </c>
      <c r="BQ10" s="5"/>
      <c r="BR10" s="5"/>
      <c r="BS10" s="5"/>
      <c r="BT10" s="5"/>
      <c r="BY10" s="5"/>
    </row>
    <row r="11" spans="1:79" ht="15.75" customHeight="1" thickBot="1">
      <c r="A11" s="4" t="s">
        <v>40</v>
      </c>
      <c r="J11" s="4" t="s">
        <v>40</v>
      </c>
      <c r="W11" s="168">
        <f>AL58-BC58</f>
        <v>1242.0784204476495</v>
      </c>
      <c r="X11" s="169">
        <f>AM58-BD58</f>
        <v>205.60842362348649</v>
      </c>
      <c r="Y11" s="56">
        <f>X11/AM58</f>
        <v>-7.1905994878162641E-2</v>
      </c>
      <c r="AC11" s="164">
        <f>XIRR(BV17:BV56,V17:V56)</f>
        <v>3.2100191712379461E-2</v>
      </c>
      <c r="AD11" s="55" t="s">
        <v>41</v>
      </c>
      <c r="BQ11" s="5"/>
      <c r="BR11" s="5"/>
      <c r="BS11" s="5"/>
      <c r="BT11" s="5"/>
      <c r="BY11" s="5"/>
    </row>
    <row r="12" spans="1:79" ht="15.75" customHeight="1">
      <c r="AA12"/>
      <c r="AB12"/>
      <c r="AC12"/>
      <c r="AD12"/>
    </row>
    <row r="13" spans="1:79" ht="15.75" customHeight="1">
      <c r="B13" t="s">
        <v>42</v>
      </c>
      <c r="F13" s="29" t="s">
        <v>43</v>
      </c>
      <c r="J13" t="s">
        <v>42</v>
      </c>
      <c r="O13" t="s">
        <v>44</v>
      </c>
      <c r="P13" t="s">
        <v>45</v>
      </c>
      <c r="Q13" t="s">
        <v>43</v>
      </c>
      <c r="V13" s="5" t="s">
        <v>46</v>
      </c>
      <c r="W13" s="5" t="s">
        <v>47</v>
      </c>
      <c r="X13" s="5" t="s">
        <v>48</v>
      </c>
      <c r="Y13" s="58" t="s">
        <v>2</v>
      </c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102"/>
      <c r="AK13" s="143" t="s">
        <v>49</v>
      </c>
      <c r="AL13" s="144"/>
      <c r="AM13" s="95"/>
      <c r="AN13" s="32"/>
      <c r="AO13" s="202" t="s">
        <v>50</v>
      </c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4"/>
      <c r="BD13" s="205" t="s">
        <v>51</v>
      </c>
      <c r="BE13" s="33"/>
      <c r="BF13" s="19"/>
      <c r="BH13" s="64" t="s">
        <v>52</v>
      </c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133"/>
      <c r="BX13" s="83" t="s">
        <v>53</v>
      </c>
      <c r="BY13" s="83" t="s">
        <v>54</v>
      </c>
    </row>
    <row r="14" spans="1:79" ht="15.75" customHeight="1">
      <c r="B14" t="s">
        <v>55</v>
      </c>
      <c r="D14" t="s">
        <v>56</v>
      </c>
      <c r="F14" s="131" t="s">
        <v>240</v>
      </c>
      <c r="Y14" s="58" t="s">
        <v>58</v>
      </c>
      <c r="Z14" s="59"/>
      <c r="AA14" s="59"/>
      <c r="AB14" s="59"/>
      <c r="AC14" s="60"/>
      <c r="AD14" s="58" t="s">
        <v>59</v>
      </c>
      <c r="AE14" s="59"/>
      <c r="AF14" s="59"/>
      <c r="AG14" s="59"/>
      <c r="AH14" s="59"/>
      <c r="AI14" s="141"/>
      <c r="AJ14" s="104" t="s">
        <v>51</v>
      </c>
      <c r="AK14" s="95"/>
      <c r="AL14" s="34"/>
      <c r="AM14" s="106" t="s">
        <v>51</v>
      </c>
      <c r="AN14" s="32"/>
      <c r="AO14" s="62" t="s">
        <v>58</v>
      </c>
      <c r="AP14" s="61"/>
      <c r="AQ14" s="61"/>
      <c r="AR14" s="61"/>
      <c r="AS14" s="63"/>
      <c r="AT14" s="61" t="s">
        <v>59</v>
      </c>
      <c r="AU14" s="61"/>
      <c r="AV14" s="61"/>
      <c r="AW14" s="61"/>
      <c r="AX14" s="61"/>
      <c r="AY14" s="61"/>
      <c r="AZ14" s="61"/>
      <c r="BA14" s="61"/>
      <c r="BB14" s="63"/>
      <c r="BC14" s="35" t="s">
        <v>51</v>
      </c>
      <c r="BD14" s="35" t="s">
        <v>60</v>
      </c>
      <c r="BE14" s="33"/>
      <c r="BF14" s="19"/>
      <c r="BH14" s="64" t="s">
        <v>58</v>
      </c>
      <c r="BI14" s="65"/>
      <c r="BJ14" s="65"/>
      <c r="BK14" s="65"/>
      <c r="BL14" s="65"/>
      <c r="BM14" s="65"/>
      <c r="BN14" s="66"/>
      <c r="BO14" s="64" t="s">
        <v>59</v>
      </c>
      <c r="BP14" s="65"/>
      <c r="BQ14" s="65"/>
      <c r="BR14" s="65"/>
      <c r="BS14" s="65"/>
      <c r="BT14" s="65"/>
      <c r="BU14" s="66"/>
      <c r="BV14" s="44" t="s">
        <v>51</v>
      </c>
      <c r="BX14" s="90"/>
      <c r="BY14" s="275" t="s">
        <v>61</v>
      </c>
    </row>
    <row r="15" spans="1:79" s="233" customFormat="1" ht="32.25" customHeight="1">
      <c r="Y15" s="39" t="s">
        <v>62</v>
      </c>
      <c r="Z15" s="40" t="s">
        <v>63</v>
      </c>
      <c r="AA15" s="40" t="s">
        <v>64</v>
      </c>
      <c r="AB15" s="40" t="s">
        <v>65</v>
      </c>
      <c r="AC15" s="41" t="s">
        <v>66</v>
      </c>
      <c r="AD15" s="39" t="s">
        <v>67</v>
      </c>
      <c r="AE15" s="40" t="s">
        <v>68</v>
      </c>
      <c r="AF15" s="40" t="s">
        <v>69</v>
      </c>
      <c r="AG15" s="40" t="s">
        <v>70</v>
      </c>
      <c r="AH15" s="40" t="s">
        <v>71</v>
      </c>
      <c r="AI15" s="42" t="s">
        <v>72</v>
      </c>
      <c r="AJ15" s="96"/>
      <c r="AK15" s="82" t="s">
        <v>73</v>
      </c>
      <c r="AL15" s="42" t="s">
        <v>10</v>
      </c>
      <c r="AM15" s="108" t="s">
        <v>60</v>
      </c>
      <c r="AN15" s="32"/>
      <c r="AO15" s="85" t="s">
        <v>62</v>
      </c>
      <c r="AP15" s="86" t="s">
        <v>63</v>
      </c>
      <c r="AQ15" s="86" t="s">
        <v>64</v>
      </c>
      <c r="AR15" s="86" t="s">
        <v>74</v>
      </c>
      <c r="AS15" s="43" t="s">
        <v>66</v>
      </c>
      <c r="AT15" s="86" t="s">
        <v>75</v>
      </c>
      <c r="AU15" s="86" t="s">
        <v>76</v>
      </c>
      <c r="AV15" s="86" t="s">
        <v>77</v>
      </c>
      <c r="AW15" s="86" t="s">
        <v>78</v>
      </c>
      <c r="AX15" s="86" t="s">
        <v>79</v>
      </c>
      <c r="AY15" s="86" t="s">
        <v>80</v>
      </c>
      <c r="AZ15" s="86" t="s">
        <v>70</v>
      </c>
      <c r="BA15" s="86" t="s">
        <v>71</v>
      </c>
      <c r="BB15" s="43" t="s">
        <v>72</v>
      </c>
      <c r="BC15" s="87"/>
      <c r="BD15" s="43"/>
      <c r="BE15" s="33"/>
      <c r="BF15" s="252" t="s">
        <v>81</v>
      </c>
      <c r="BG15" s="33"/>
      <c r="BH15" s="45" t="s">
        <v>75</v>
      </c>
      <c r="BI15" s="37" t="s">
        <v>76</v>
      </c>
      <c r="BJ15" s="37" t="s">
        <v>77</v>
      </c>
      <c r="BK15" s="37" t="s">
        <v>78</v>
      </c>
      <c r="BL15" s="37" t="s">
        <v>82</v>
      </c>
      <c r="BM15" s="37" t="s">
        <v>65</v>
      </c>
      <c r="BN15" s="38" t="s">
        <v>66</v>
      </c>
      <c r="BO15" s="37" t="s">
        <v>83</v>
      </c>
      <c r="BP15" s="37" t="s">
        <v>84</v>
      </c>
      <c r="BQ15" s="37" t="s">
        <v>85</v>
      </c>
      <c r="BR15" s="37" t="s">
        <v>86</v>
      </c>
      <c r="BS15" s="37" t="s">
        <v>87</v>
      </c>
      <c r="BT15" s="37" t="s">
        <v>88</v>
      </c>
      <c r="BU15" s="38" t="s">
        <v>72</v>
      </c>
      <c r="BV15" s="38"/>
      <c r="BW15" s="33"/>
      <c r="BX15" s="91"/>
      <c r="BY15" s="274">
        <f>IF(SUM(BY17:BY46)=0,0,1)</f>
        <v>0</v>
      </c>
      <c r="BZ15" s="33"/>
    </row>
    <row r="16" spans="1:79" ht="15.75" customHeight="1">
      <c r="B16" t="s">
        <v>89</v>
      </c>
      <c r="C16" t="s">
        <v>90</v>
      </c>
      <c r="D16" t="s">
        <v>91</v>
      </c>
      <c r="F16" s="1">
        <v>3</v>
      </c>
      <c r="J16" s="248" t="s">
        <v>92</v>
      </c>
      <c r="K16" s="233"/>
      <c r="L16" s="233"/>
      <c r="M16" s="233"/>
      <c r="N16" s="33" t="s">
        <v>91</v>
      </c>
      <c r="O16" s="251">
        <f>SUM(F16:F17)</f>
        <v>23</v>
      </c>
      <c r="V16" s="103"/>
      <c r="Y16" s="166"/>
      <c r="Z16" s="149"/>
      <c r="AA16" s="149"/>
      <c r="AB16" s="149"/>
      <c r="AC16" s="149"/>
      <c r="AD16" s="149"/>
      <c r="AE16" s="149"/>
      <c r="AF16" s="149"/>
      <c r="AG16" s="229"/>
      <c r="AH16" s="149"/>
      <c r="AI16" s="149"/>
      <c r="AJ16" s="149"/>
      <c r="AK16" s="163"/>
      <c r="AL16" s="155">
        <f>-SUM(BS17,SUM(BR17:BR46),O105,O110)</f>
        <v>-860.59058385963715</v>
      </c>
      <c r="AM16" s="155">
        <f>AL16*BF16</f>
        <v>-860.59058385963715</v>
      </c>
      <c r="AN16" s="163"/>
      <c r="AO16" s="148"/>
      <c r="AP16" s="149"/>
      <c r="AQ16" s="149"/>
      <c r="AR16" s="149"/>
      <c r="AS16" s="149"/>
      <c r="AT16" s="149"/>
      <c r="AU16" s="149"/>
      <c r="AV16" s="149"/>
      <c r="AW16" s="149"/>
      <c r="AX16" s="229"/>
      <c r="AY16" s="149"/>
      <c r="AZ16" s="229"/>
      <c r="BA16" s="149"/>
      <c r="BB16" s="149"/>
      <c r="BC16" s="149"/>
      <c r="BD16" s="167"/>
      <c r="BE16" s="31"/>
      <c r="BF16" s="105">
        <v>1</v>
      </c>
      <c r="BH16" s="148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149"/>
      <c r="BT16" s="149"/>
      <c r="BU16" s="149"/>
      <c r="BV16" s="149"/>
      <c r="BW16" s="150"/>
      <c r="BX16" s="151"/>
      <c r="BY16" s="270"/>
      <c r="CA16"/>
    </row>
    <row r="17" spans="1:79" ht="15.75" customHeight="1">
      <c r="C17" t="s">
        <v>93</v>
      </c>
      <c r="D17" t="s">
        <v>91</v>
      </c>
      <c r="F17" s="1">
        <v>20</v>
      </c>
      <c r="J17" s="113"/>
      <c r="V17" s="57">
        <f>IF(W17=1,DATE(YEAR($F$18)+(MONTH($F$18)&gt;=4),4,0),EOMONTH(V15,12))</f>
        <v>45747</v>
      </c>
      <c r="W17" s="6">
        <v>1</v>
      </c>
      <c r="X17" s="269" t="str">
        <f t="shared" ref="X17:X56" si="0">IF(W17&gt;$O$16,"-",IF($W17&lt;=$F$16,"整備期間","維持管理・運営期間"))</f>
        <v>整備期間</v>
      </c>
      <c r="Y17" s="158">
        <f t="shared" ref="Y17:Y56" si="1">IF($W17=$F$16,$O$61,0)</f>
        <v>0</v>
      </c>
      <c r="Z17" s="156">
        <f t="shared" ref="Z17:Z56" si="2">IF($W17=$F$16,$O$63,0)</f>
        <v>0</v>
      </c>
      <c r="AA17" s="156">
        <f t="shared" ref="AA17:AA56" si="3">IF($W17=$F$16,$O$62,0)</f>
        <v>0</v>
      </c>
      <c r="AB17" s="156">
        <f t="shared" ref="AB17:AB56" si="4">IF(X17="維持管理・運営期間",$F$56,0)</f>
        <v>0</v>
      </c>
      <c r="AC17" s="157">
        <f t="shared" ref="AC17:AC56" si="5">SUM(Y17:Z17,AB17)</f>
        <v>0</v>
      </c>
      <c r="AD17" s="158">
        <f t="shared" ref="AD17:AD56" si="6">IF($W17=$F$16,$O$30,0)</f>
        <v>0</v>
      </c>
      <c r="AE17" s="156">
        <f t="shared" ref="AE17:AE56" si="7">IF($X17="維持管理・運営期間",$O$41,0)</f>
        <v>0</v>
      </c>
      <c r="AF17" s="156">
        <f t="shared" ref="AF17:AF56" si="8">IF(AND($W17&gt;0,$W17&lt;=$O$16),$E$45,0)</f>
        <v>10</v>
      </c>
      <c r="AG17" s="222">
        <f>IF(AND(SUM($AA$16:AA16)&gt;0,SUM($AG$16:AG16)&lt;$O$62,$W17&gt;=$O$65),$O$64,0)</f>
        <v>0</v>
      </c>
      <c r="AH17" s="222">
        <f>IF(SUM($AA16:$AA$17)&gt;0,($O$62-SUM($AG16:$AG$17))*$E$65,0)</f>
        <v>0</v>
      </c>
      <c r="AI17" s="157">
        <f t="shared" ref="AI17:AI56" si="9">SUM(AD17:AF17)</f>
        <v>10</v>
      </c>
      <c r="AJ17" s="156">
        <f t="shared" ref="AJ17:AJ56" si="10">AC17-AI17</f>
        <v>-10</v>
      </c>
      <c r="AK17" s="159"/>
      <c r="AL17" s="160"/>
      <c r="AM17" s="157">
        <f t="shared" ref="AM17:AM56" si="11">AJ17*$BF17</f>
        <v>-9.6665055582406971</v>
      </c>
      <c r="AN17" s="161"/>
      <c r="AO17" s="158">
        <f t="shared" ref="AO17:AO56" si="12">IF($W17=$F$16,$P$61,0)</f>
        <v>0</v>
      </c>
      <c r="AP17" s="156">
        <f t="shared" ref="AP17:AP56" si="13">IF($W17=$F$16,$P$63,0)</f>
        <v>0</v>
      </c>
      <c r="AQ17" s="156">
        <f t="shared" ref="AQ17:AQ56" si="14">IF($W17=$F$16,$P$62,0)</f>
        <v>0</v>
      </c>
      <c r="AR17" s="156">
        <f t="shared" ref="AR17:AR56" si="15">IF($W17&lt;$O$16,IF(W17=$F$16,$U$92,$U$93),0)</f>
        <v>0</v>
      </c>
      <c r="AS17" s="157">
        <f t="shared" ref="AS17:AS56" si="16">SUM(AO17:AP17,AR17)</f>
        <v>0</v>
      </c>
      <c r="AT17" s="156">
        <f t="shared" ref="AT17:AT56" si="17">IF(W17=$F$16,$P$30,0)</f>
        <v>0</v>
      </c>
      <c r="AU17" s="156">
        <f t="shared" ref="AU17:AU56" si="18">IFERROR(-PPMT($P$36,W17-$F$16,$F$17,SUM(P$31,P$51)),0)</f>
        <v>0</v>
      </c>
      <c r="AV17" s="156">
        <f t="shared" ref="AV17:AV56" si="19">IFERROR(-IPMT($P$36,W17-$F$16,$F$17,SUM($P$31,$P$51)),0)</f>
        <v>0</v>
      </c>
      <c r="AW17" s="156">
        <f t="shared" ref="AW17:AW56" si="20">IF(AND(W17&gt;$F$16,W17&lt;=SUM($F$16:$F$17)),$P$43,0)</f>
        <v>0</v>
      </c>
      <c r="AX17" s="267">
        <f t="shared" ref="AX17:AX56" si="21">IF($W17=1,$F$44,0)+IF(AND($W17&gt;0,$W17&lt;=$O$16),$F$45,0)</f>
        <v>31</v>
      </c>
      <c r="AY17" s="268">
        <f t="shared" ref="AY17:AY56" si="22">IF(AND(W17&gt;$F$16,W17&lt;=SUM($F$16:$F$17)),$P$54,0)</f>
        <v>0</v>
      </c>
      <c r="AZ17" s="267">
        <f>IF(AND(SUM($AQ$16:AQ16)&gt;0,SUM($AZ$16:AZ16)&lt;$P$62,$W17&gt;=$P$65),$P$64,0)</f>
        <v>0</v>
      </c>
      <c r="BA17" s="156">
        <f>IF(SUM($AQ16:$AQ$17)&gt;0,($P$62-SUM($AZ16:$AZ$17))*$F$65,0)</f>
        <v>0</v>
      </c>
      <c r="BB17" s="157">
        <f t="shared" ref="BB17:BB56" si="23">SUM(AT17:AY17)</f>
        <v>31</v>
      </c>
      <c r="BC17" s="156">
        <f t="shared" ref="BC17:BC56" si="24">AS17-BB17</f>
        <v>-31</v>
      </c>
      <c r="BD17" s="157">
        <f t="shared" ref="BD17:BD56" si="25">BC17*$BF17</f>
        <v>-29.966167230546159</v>
      </c>
      <c r="BE17" s="48"/>
      <c r="BF17" s="46">
        <f>1/(1+$O$22)</f>
        <v>0.96665055582406967</v>
      </c>
      <c r="BH17" s="152">
        <f t="shared" ref="BH17:BH56" si="26">AT17</f>
        <v>0</v>
      </c>
      <c r="BI17" s="152">
        <f t="shared" ref="BI17:BI56" si="27">AU17</f>
        <v>0</v>
      </c>
      <c r="BJ17" s="153">
        <f t="shared" ref="BJ17:BJ56" si="28">AV17</f>
        <v>0</v>
      </c>
      <c r="BK17" s="153">
        <f t="shared" ref="BK17:BK56" si="29">AW17</f>
        <v>0</v>
      </c>
      <c r="BL17" s="153">
        <f t="shared" ref="BL17:BL56" si="30">AY17</f>
        <v>0</v>
      </c>
      <c r="BM17" s="153">
        <f t="shared" ref="BM17:BM56" si="31">IF($W17&gt;$F$16,$F$56,0)</f>
        <v>0</v>
      </c>
      <c r="BN17" s="154">
        <f t="shared" ref="BN17:BN56" si="32">SUM(BH17:BM17)</f>
        <v>0</v>
      </c>
      <c r="BO17" s="153">
        <f t="shared" ref="BO17:BO56" si="33">IF($W17=$F$16,$P$32,0)</f>
        <v>0</v>
      </c>
      <c r="BP17" s="153">
        <f t="shared" ref="BP17:BP56" si="34">IF(AND(W17&gt;$F$16,W17&lt;=SUM($F$16:$F$17)),$P$41,0)</f>
        <v>0</v>
      </c>
      <c r="BQ17" s="153">
        <f t="shared" ref="BQ17:BQ56" si="35">IFERROR(-IPMT($P$67,W17-$F$16,$F$17,SUM(P$31,P$51)),0)</f>
        <v>0</v>
      </c>
      <c r="BR17" s="153">
        <f t="shared" ref="BR17:BR56" si="36">IF($W17&lt;=$O$16,$F$105,0)</f>
        <v>12</v>
      </c>
      <c r="BS17" s="220">
        <f t="shared" ref="BS17:BS56" si="37">IF($W17=1,SUM($O$103,$O$105),0)</f>
        <v>200</v>
      </c>
      <c r="BT17" s="153">
        <f t="array" ref="BT17">IF($W17&lt;=$O$16,_xlfn.IFS(W17&lt;$F$16,$P$92,W17=$F$16,$P$93,W17&gt;$F$16,$P$94),0)</f>
        <v>0.18</v>
      </c>
      <c r="BU17" s="154">
        <f t="shared" ref="BU17:BU56" si="38">SUM(BO17:BP17,BR17:BT17)</f>
        <v>212.18</v>
      </c>
      <c r="BV17" s="154">
        <f t="shared" ref="BV17:BV56" si="39">BN17-BU17</f>
        <v>-212.18</v>
      </c>
      <c r="BW17" s="150"/>
      <c r="BX17" s="155">
        <f t="shared" ref="BX17:BX56" si="40">IFERROR(-PPMT($P$67,$W17-$F$16,$F$17,SUM(P$31,P$51)),0)</f>
        <v>0</v>
      </c>
      <c r="BY17" s="271"/>
      <c r="CA17"/>
    </row>
    <row r="18" spans="1:79" ht="15.75" customHeight="1">
      <c r="C18" t="s">
        <v>94</v>
      </c>
      <c r="F18" s="67">
        <v>45383</v>
      </c>
      <c r="J18" s="113"/>
      <c r="V18" s="57">
        <f t="shared" ref="V18:V56" si="41">IF(W18=1,DATE(YEAR($F$18)+(MONTH($F$18)&gt;=4),4,0),EOMONTH(V17,12))</f>
        <v>46112</v>
      </c>
      <c r="W18" s="7">
        <v>2</v>
      </c>
      <c r="X18" s="269" t="str">
        <f t="shared" si="0"/>
        <v>整備期間</v>
      </c>
      <c r="Y18" s="158">
        <f t="shared" si="1"/>
        <v>0</v>
      </c>
      <c r="Z18" s="156">
        <f t="shared" si="2"/>
        <v>0</v>
      </c>
      <c r="AA18" s="156">
        <f t="shared" si="3"/>
        <v>0</v>
      </c>
      <c r="AB18" s="156">
        <f t="shared" si="4"/>
        <v>0</v>
      </c>
      <c r="AC18" s="157">
        <f t="shared" si="5"/>
        <v>0</v>
      </c>
      <c r="AD18" s="158">
        <f t="shared" si="6"/>
        <v>0</v>
      </c>
      <c r="AE18" s="156">
        <f t="shared" si="7"/>
        <v>0</v>
      </c>
      <c r="AF18" s="156">
        <f t="shared" si="8"/>
        <v>10</v>
      </c>
      <c r="AG18" s="222">
        <f>IF(AND(SUM($AA$16:AA17)&gt;0,SUM($AG$16:AG17)&lt;$O$62,$W18&gt;=$O$65),$O$64,0)</f>
        <v>0</v>
      </c>
      <c r="AH18" s="220">
        <f>IF(SUM($AA17:$AA$17)&gt;0,($O$62-SUM($AG17:$AG$17))*$E$65,0)</f>
        <v>0</v>
      </c>
      <c r="AI18" s="157">
        <f t="shared" si="9"/>
        <v>10</v>
      </c>
      <c r="AJ18" s="153">
        <f t="shared" si="10"/>
        <v>-10</v>
      </c>
      <c r="AK18" s="159"/>
      <c r="AL18" s="160"/>
      <c r="AM18" s="154">
        <f t="shared" si="11"/>
        <v>-9.3441329707498273</v>
      </c>
      <c r="AN18" s="161"/>
      <c r="AO18" s="152">
        <f t="shared" si="12"/>
        <v>0</v>
      </c>
      <c r="AP18" s="153">
        <f t="shared" si="13"/>
        <v>0</v>
      </c>
      <c r="AQ18" s="153">
        <f t="shared" si="14"/>
        <v>0</v>
      </c>
      <c r="AR18" s="156">
        <f t="shared" si="15"/>
        <v>0</v>
      </c>
      <c r="AS18" s="157">
        <f t="shared" si="16"/>
        <v>0</v>
      </c>
      <c r="AT18" s="156">
        <f t="shared" si="17"/>
        <v>0</v>
      </c>
      <c r="AU18" s="156">
        <f t="shared" si="18"/>
        <v>0</v>
      </c>
      <c r="AV18" s="156">
        <f t="shared" si="19"/>
        <v>0</v>
      </c>
      <c r="AW18" s="156">
        <f t="shared" si="20"/>
        <v>0</v>
      </c>
      <c r="AX18" s="267">
        <f t="shared" si="21"/>
        <v>6</v>
      </c>
      <c r="AY18" s="268">
        <f t="shared" si="22"/>
        <v>0</v>
      </c>
      <c r="AZ18" s="267">
        <f>IF(AND(SUM($AQ$16:AQ17)&gt;0,SUM($AZ$16:AZ17)&lt;$P$62,$W18&gt;=$P$65),$P$64,0)</f>
        <v>0</v>
      </c>
      <c r="BA18" s="156">
        <f>IF(SUM($AQ17:$AQ$17)&gt;0,($P$62-SUM($AZ17:$AZ$17))*$F$65,0)</f>
        <v>0</v>
      </c>
      <c r="BB18" s="157">
        <f t="shared" si="23"/>
        <v>6</v>
      </c>
      <c r="BC18" s="153">
        <f t="shared" si="24"/>
        <v>-6</v>
      </c>
      <c r="BD18" s="154">
        <f t="shared" si="25"/>
        <v>-5.6064797824498971</v>
      </c>
      <c r="BE18" s="48"/>
      <c r="BF18" s="46">
        <f t="shared" ref="BF18:BF56" si="42">BF17/(1+$O$22)</f>
        <v>0.93441329707498277</v>
      </c>
      <c r="BH18" s="152">
        <f t="shared" si="26"/>
        <v>0</v>
      </c>
      <c r="BI18" s="152">
        <f t="shared" si="27"/>
        <v>0</v>
      </c>
      <c r="BJ18" s="153">
        <f t="shared" si="28"/>
        <v>0</v>
      </c>
      <c r="BK18" s="153">
        <f t="shared" si="29"/>
        <v>0</v>
      </c>
      <c r="BL18" s="153">
        <f t="shared" si="30"/>
        <v>0</v>
      </c>
      <c r="BM18" s="153">
        <f t="shared" si="31"/>
        <v>0</v>
      </c>
      <c r="BN18" s="154">
        <f t="shared" si="32"/>
        <v>0</v>
      </c>
      <c r="BO18" s="153">
        <f t="shared" si="33"/>
        <v>0</v>
      </c>
      <c r="BP18" s="153">
        <f t="shared" si="34"/>
        <v>0</v>
      </c>
      <c r="BQ18" s="153">
        <f t="shared" si="35"/>
        <v>0</v>
      </c>
      <c r="BR18" s="153">
        <f t="shared" si="36"/>
        <v>12</v>
      </c>
      <c r="BS18" s="220">
        <f t="shared" si="37"/>
        <v>0</v>
      </c>
      <c r="BT18" s="153">
        <f t="array" ref="BT18">IF($W18&lt;=$O$16,_xlfn.IFS(W18&lt;$F$16,$P$92,W18=$F$16,$P$93,W18&gt;$F$16,$P$94),0)</f>
        <v>0.18</v>
      </c>
      <c r="BU18" s="154">
        <f t="shared" si="38"/>
        <v>12.18</v>
      </c>
      <c r="BV18" s="154">
        <f t="shared" si="39"/>
        <v>-12.18</v>
      </c>
      <c r="BW18" s="150"/>
      <c r="BX18" s="155">
        <f t="shared" si="40"/>
        <v>0</v>
      </c>
      <c r="BY18" s="272"/>
      <c r="CA18"/>
    </row>
    <row r="19" spans="1:79" ht="15.75" customHeight="1">
      <c r="C19" t="s">
        <v>95</v>
      </c>
      <c r="F19" s="134">
        <f>EOMONTH(F18,12*F16-1)</f>
        <v>46477</v>
      </c>
      <c r="J19" s="113"/>
      <c r="V19" s="57">
        <f t="shared" si="41"/>
        <v>46477</v>
      </c>
      <c r="W19" s="7">
        <v>3</v>
      </c>
      <c r="X19" s="269" t="str">
        <f t="shared" si="0"/>
        <v>整備期間</v>
      </c>
      <c r="Y19" s="158">
        <f t="shared" si="1"/>
        <v>1140</v>
      </c>
      <c r="Z19" s="156">
        <f t="shared" si="2"/>
        <v>384.75</v>
      </c>
      <c r="AA19" s="156">
        <f t="shared" si="3"/>
        <v>1282.5</v>
      </c>
      <c r="AB19" s="156">
        <f t="shared" si="4"/>
        <v>0</v>
      </c>
      <c r="AC19" s="157">
        <f t="shared" si="5"/>
        <v>1524.75</v>
      </c>
      <c r="AD19" s="158">
        <f t="shared" si="6"/>
        <v>2850</v>
      </c>
      <c r="AE19" s="156">
        <f t="shared" si="7"/>
        <v>0</v>
      </c>
      <c r="AF19" s="156">
        <f t="shared" si="8"/>
        <v>10</v>
      </c>
      <c r="AG19" s="222">
        <f>IF(AND(SUM($AA$16:AA18)&gt;0,SUM($AG$16:AG18)&lt;$O$62,$W19&gt;=$O$65),$O$64,0)</f>
        <v>0</v>
      </c>
      <c r="AH19" s="220">
        <f>IF(SUM($AA$17:$AA18)&gt;0,($O$62-SUM($AG$17:$AG18))*$E$65,0)</f>
        <v>0</v>
      </c>
      <c r="AI19" s="157">
        <f t="shared" si="9"/>
        <v>2860</v>
      </c>
      <c r="AJ19" s="153">
        <f t="shared" si="10"/>
        <v>-1335.25</v>
      </c>
      <c r="AK19" s="159"/>
      <c r="AL19" s="160"/>
      <c r="AM19" s="154">
        <f t="shared" si="11"/>
        <v>-1206.0660753208031</v>
      </c>
      <c r="AN19" s="161"/>
      <c r="AO19" s="152">
        <f t="shared" si="12"/>
        <v>1140</v>
      </c>
      <c r="AP19" s="153">
        <f t="shared" si="13"/>
        <v>64.125</v>
      </c>
      <c r="AQ19" s="153">
        <f t="shared" si="14"/>
        <v>213.75</v>
      </c>
      <c r="AR19" s="156">
        <f t="shared" si="15"/>
        <v>33.6</v>
      </c>
      <c r="AS19" s="157">
        <f t="shared" si="16"/>
        <v>1237.7249999999999</v>
      </c>
      <c r="AT19" s="156">
        <f t="shared" si="17"/>
        <v>1425</v>
      </c>
      <c r="AU19" s="156">
        <f t="shared" si="18"/>
        <v>0</v>
      </c>
      <c r="AV19" s="156">
        <f t="shared" si="19"/>
        <v>0</v>
      </c>
      <c r="AW19" s="156">
        <f t="shared" si="20"/>
        <v>0</v>
      </c>
      <c r="AX19" s="267">
        <f t="shared" si="21"/>
        <v>6</v>
      </c>
      <c r="AY19" s="268">
        <f t="shared" si="22"/>
        <v>0</v>
      </c>
      <c r="AZ19" s="267">
        <f>IF(AND(SUM($AQ$16:AQ18)&gt;0,SUM($AZ$16:AZ18)&lt;$P$62,$W19&gt;=$P$65),$P$64,0)</f>
        <v>0</v>
      </c>
      <c r="BA19" s="156">
        <f>IF(SUM($AQ$17:$AQ18)&gt;0,($P$62-SUM($AZ$17:$AZ18))*$F$65,0)</f>
        <v>0</v>
      </c>
      <c r="BB19" s="157">
        <f t="shared" si="23"/>
        <v>1431</v>
      </c>
      <c r="BC19" s="153">
        <f t="shared" si="24"/>
        <v>-193.27500000000009</v>
      </c>
      <c r="BD19" s="154">
        <f t="shared" si="25"/>
        <v>-174.57586272804969</v>
      </c>
      <c r="BE19" s="48"/>
      <c r="BF19" s="46">
        <f t="shared" si="42"/>
        <v>0.9032511329869336</v>
      </c>
      <c r="BH19" s="152">
        <f t="shared" si="26"/>
        <v>1425</v>
      </c>
      <c r="BI19" s="152">
        <f t="shared" si="27"/>
        <v>0</v>
      </c>
      <c r="BJ19" s="153">
        <f t="shared" si="28"/>
        <v>0</v>
      </c>
      <c r="BK19" s="153">
        <f t="shared" si="29"/>
        <v>0</v>
      </c>
      <c r="BL19" s="153">
        <f t="shared" si="30"/>
        <v>0</v>
      </c>
      <c r="BM19" s="153">
        <f t="shared" si="31"/>
        <v>0</v>
      </c>
      <c r="BN19" s="154">
        <f t="shared" si="32"/>
        <v>1425</v>
      </c>
      <c r="BO19" s="153">
        <f t="shared" si="33"/>
        <v>2850</v>
      </c>
      <c r="BP19" s="153">
        <f t="shared" si="34"/>
        <v>0</v>
      </c>
      <c r="BQ19" s="153">
        <f t="shared" si="35"/>
        <v>0</v>
      </c>
      <c r="BR19" s="153">
        <f t="shared" si="36"/>
        <v>12</v>
      </c>
      <c r="BS19" s="220">
        <f t="shared" si="37"/>
        <v>0</v>
      </c>
      <c r="BT19" s="153">
        <f t="array" ref="BT19">IF($W19&lt;=$O$16,_xlfn.IFS(W19&lt;$F$16,$P$92,W19=$F$16,$P$93,W19&gt;$F$16,$P$94),0)</f>
        <v>105.78</v>
      </c>
      <c r="BU19" s="154">
        <f t="shared" si="38"/>
        <v>2967.78</v>
      </c>
      <c r="BV19" s="154">
        <f t="shared" si="39"/>
        <v>-1542.7800000000002</v>
      </c>
      <c r="BW19" s="150"/>
      <c r="BX19" s="155">
        <f t="shared" si="40"/>
        <v>0</v>
      </c>
      <c r="BY19" s="272"/>
      <c r="CA19"/>
    </row>
    <row r="20" spans="1:79" ht="15.75" customHeight="1">
      <c r="C20" t="s">
        <v>96</v>
      </c>
      <c r="F20" s="134">
        <f>F19+1</f>
        <v>46478</v>
      </c>
      <c r="V20" s="57">
        <f t="shared" si="41"/>
        <v>46843</v>
      </c>
      <c r="W20" s="7">
        <v>4</v>
      </c>
      <c r="X20" s="269" t="str">
        <f t="shared" si="0"/>
        <v>維持管理・運営期間</v>
      </c>
      <c r="Y20" s="158">
        <f t="shared" si="1"/>
        <v>0</v>
      </c>
      <c r="Z20" s="156">
        <f t="shared" si="2"/>
        <v>0</v>
      </c>
      <c r="AA20" s="156">
        <f t="shared" si="3"/>
        <v>0</v>
      </c>
      <c r="AB20" s="156">
        <f t="shared" si="4"/>
        <v>0</v>
      </c>
      <c r="AC20" s="157">
        <f t="shared" si="5"/>
        <v>0</v>
      </c>
      <c r="AD20" s="158">
        <f t="shared" si="6"/>
        <v>0</v>
      </c>
      <c r="AE20" s="156">
        <f t="shared" si="7"/>
        <v>50</v>
      </c>
      <c r="AF20" s="156">
        <f t="shared" si="8"/>
        <v>10</v>
      </c>
      <c r="AG20" s="222">
        <f>IF(AND(SUM($AA$16:AA19)&gt;0,SUM($AG$16:AG19)&lt;$O$62,$W20&gt;=$O$65),$O$64,0)</f>
        <v>0</v>
      </c>
      <c r="AH20" s="220">
        <f>IF(SUM($AA$17:$AA19)&gt;0,($O$62-SUM($AG$17:$AG19))*$E$65,0)</f>
        <v>19.237500000000001</v>
      </c>
      <c r="AI20" s="157">
        <f t="shared" si="9"/>
        <v>60</v>
      </c>
      <c r="AJ20" s="153">
        <f t="shared" si="10"/>
        <v>-60</v>
      </c>
      <c r="AK20" s="155">
        <f>(SUM($P$31,$P$51)-SUM($AU$17:AU19))*$O$109</f>
        <v>24.168309999999998</v>
      </c>
      <c r="AL20" s="160"/>
      <c r="AM20" s="154">
        <f t="shared" si="11"/>
        <v>-52.387692585032397</v>
      </c>
      <c r="AN20" s="161"/>
      <c r="AO20" s="152">
        <f t="shared" si="12"/>
        <v>0</v>
      </c>
      <c r="AP20" s="153">
        <f t="shared" si="13"/>
        <v>0</v>
      </c>
      <c r="AQ20" s="153">
        <f t="shared" si="14"/>
        <v>0</v>
      </c>
      <c r="AR20" s="156">
        <f t="shared" si="15"/>
        <v>0</v>
      </c>
      <c r="AS20" s="157">
        <f t="shared" si="16"/>
        <v>0</v>
      </c>
      <c r="AT20" s="156">
        <f t="shared" si="17"/>
        <v>0</v>
      </c>
      <c r="AU20" s="156">
        <f t="shared" si="18"/>
        <v>56.264390215364365</v>
      </c>
      <c r="AV20" s="156">
        <f t="shared" si="19"/>
        <v>65.837810000000005</v>
      </c>
      <c r="AW20" s="156">
        <f t="shared" si="20"/>
        <v>47.5</v>
      </c>
      <c r="AX20" s="267">
        <f t="shared" si="21"/>
        <v>6</v>
      </c>
      <c r="AY20" s="268">
        <f t="shared" si="22"/>
        <v>45.78</v>
      </c>
      <c r="AZ20" s="267">
        <f>IF(AND(SUM($AQ$16:AQ19)&gt;0,SUM($AZ$16:AZ19)&lt;$P$62,$W20&gt;=$P$65),$P$64,0)</f>
        <v>0</v>
      </c>
      <c r="BA20" s="156">
        <f>IF(SUM($AQ$17:$AQ19)&gt;0,($P$62-SUM($AZ$17:$AZ19))*$F$65,0)</f>
        <v>3.2062499999999998</v>
      </c>
      <c r="BB20" s="157">
        <f t="shared" si="23"/>
        <v>221.38220021536438</v>
      </c>
      <c r="BC20" s="153">
        <f t="shared" si="24"/>
        <v>-221.38220021536438</v>
      </c>
      <c r="BD20" s="154">
        <f t="shared" si="25"/>
        <v>-193.29504414467669</v>
      </c>
      <c r="BE20" s="48"/>
      <c r="BF20" s="46">
        <f t="shared" si="42"/>
        <v>0.87312820975053995</v>
      </c>
      <c r="BH20" s="152">
        <f t="shared" si="26"/>
        <v>0</v>
      </c>
      <c r="BI20" s="152">
        <f t="shared" si="27"/>
        <v>56.264390215364365</v>
      </c>
      <c r="BJ20" s="153">
        <f t="shared" si="28"/>
        <v>65.837810000000005</v>
      </c>
      <c r="BK20" s="153">
        <f t="shared" si="29"/>
        <v>47.5</v>
      </c>
      <c r="BL20" s="153">
        <f t="shared" si="30"/>
        <v>45.78</v>
      </c>
      <c r="BM20" s="153">
        <f t="shared" si="31"/>
        <v>0</v>
      </c>
      <c r="BN20" s="154">
        <f t="shared" si="32"/>
        <v>215.38220021536438</v>
      </c>
      <c r="BO20" s="153">
        <f t="shared" si="33"/>
        <v>0</v>
      </c>
      <c r="BP20" s="153">
        <f t="shared" si="34"/>
        <v>47.5</v>
      </c>
      <c r="BQ20" s="153">
        <f t="shared" si="35"/>
        <v>49.170009999999998</v>
      </c>
      <c r="BR20" s="153">
        <f t="shared" si="36"/>
        <v>12</v>
      </c>
      <c r="BS20" s="220">
        <f t="shared" si="37"/>
        <v>0</v>
      </c>
      <c r="BT20" s="153">
        <f t="array" ref="BT20">IF($W20&lt;=$O$16,_xlfn.IFS(W20&lt;$F$16,$P$92,W20=$F$16,$P$93,W20&gt;$F$16,$P$94),0)</f>
        <v>33.78</v>
      </c>
      <c r="BU20" s="154">
        <f t="shared" si="38"/>
        <v>93.28</v>
      </c>
      <c r="BV20" s="154">
        <f t="shared" si="39"/>
        <v>122.10220021536438</v>
      </c>
      <c r="BW20" s="150"/>
      <c r="BX20" s="155">
        <f t="shared" si="40"/>
        <v>62.346523493173478</v>
      </c>
      <c r="BY20" s="273">
        <f t="shared" ref="BY20:BY56" si="43">IF(BV20-BX20&gt;=0,0,1)</f>
        <v>0</v>
      </c>
      <c r="CA20"/>
    </row>
    <row r="21" spans="1:79" ht="15.75" customHeight="1">
      <c r="C21" t="s">
        <v>97</v>
      </c>
      <c r="F21" s="134">
        <f>EOMONTH(F20,12*F17-1)</f>
        <v>53782</v>
      </c>
      <c r="V21" s="57">
        <f t="shared" si="41"/>
        <v>47208</v>
      </c>
      <c r="W21" s="7">
        <v>5</v>
      </c>
      <c r="X21" s="269" t="str">
        <f t="shared" si="0"/>
        <v>維持管理・運営期間</v>
      </c>
      <c r="Y21" s="158">
        <f t="shared" si="1"/>
        <v>0</v>
      </c>
      <c r="Z21" s="156">
        <f t="shared" si="2"/>
        <v>0</v>
      </c>
      <c r="AA21" s="156">
        <f t="shared" si="3"/>
        <v>0</v>
      </c>
      <c r="AB21" s="156">
        <f t="shared" si="4"/>
        <v>0</v>
      </c>
      <c r="AC21" s="157">
        <f t="shared" si="5"/>
        <v>0</v>
      </c>
      <c r="AD21" s="158">
        <f t="shared" si="6"/>
        <v>0</v>
      </c>
      <c r="AE21" s="156">
        <f t="shared" si="7"/>
        <v>50</v>
      </c>
      <c r="AF21" s="156">
        <f t="shared" si="8"/>
        <v>10</v>
      </c>
      <c r="AG21" s="222">
        <f>IF(AND(SUM($AA$16:AA20)&gt;0,SUM($AG$16:AG20)&lt;$O$62,$W21&gt;=$O$65),$O$64,0)</f>
        <v>0</v>
      </c>
      <c r="AH21" s="220">
        <f>IF(SUM($AA$17:$AA20)&gt;0,($O$62-SUM($AG$17:$AG20))*$E$65,0)</f>
        <v>19.237500000000001</v>
      </c>
      <c r="AI21" s="157">
        <f t="shared" si="9"/>
        <v>60</v>
      </c>
      <c r="AJ21" s="153">
        <f t="shared" si="10"/>
        <v>-60</v>
      </c>
      <c r="AK21" s="155">
        <f>(SUM($P$31,$P$51)-SUM($AU$17:AU20))*$O$109</f>
        <v>23.352476341877214</v>
      </c>
      <c r="AL21" s="160"/>
      <c r="AM21" s="154">
        <f t="shared" si="11"/>
        <v>-50.640592155662056</v>
      </c>
      <c r="AN21" s="161"/>
      <c r="AO21" s="152">
        <f t="shared" si="12"/>
        <v>0</v>
      </c>
      <c r="AP21" s="153">
        <f t="shared" si="13"/>
        <v>0</v>
      </c>
      <c r="AQ21" s="153">
        <f t="shared" si="14"/>
        <v>0</v>
      </c>
      <c r="AR21" s="156">
        <f t="shared" si="15"/>
        <v>0</v>
      </c>
      <c r="AS21" s="157">
        <f t="shared" si="16"/>
        <v>0</v>
      </c>
      <c r="AT21" s="156">
        <f t="shared" si="17"/>
        <v>0</v>
      </c>
      <c r="AU21" s="156">
        <f t="shared" si="18"/>
        <v>58.48683362887126</v>
      </c>
      <c r="AV21" s="156">
        <f t="shared" si="19"/>
        <v>63.615366586493103</v>
      </c>
      <c r="AW21" s="156">
        <f t="shared" si="20"/>
        <v>47.5</v>
      </c>
      <c r="AX21" s="267">
        <f t="shared" si="21"/>
        <v>6</v>
      </c>
      <c r="AY21" s="268">
        <f t="shared" si="22"/>
        <v>45.78</v>
      </c>
      <c r="AZ21" s="267">
        <f>IF(AND(SUM($AQ$16:AQ20)&gt;0,SUM($AZ$16:AZ20)&lt;$P$62,$W21&gt;=$P$65),$P$64,0)</f>
        <v>0</v>
      </c>
      <c r="BA21" s="156">
        <f>IF(SUM($AQ$17:$AQ20)&gt;0,($P$62-SUM($AZ$17:$AZ20))*$F$65,0)</f>
        <v>3.2062499999999998</v>
      </c>
      <c r="BB21" s="157">
        <f t="shared" si="23"/>
        <v>221.38220021536435</v>
      </c>
      <c r="BC21" s="153">
        <f t="shared" si="24"/>
        <v>-221.38220021536435</v>
      </c>
      <c r="BD21" s="154">
        <f t="shared" si="25"/>
        <v>-186.84876186048979</v>
      </c>
      <c r="BE21" s="48"/>
      <c r="BF21" s="46">
        <f t="shared" si="42"/>
        <v>0.84400986926103427</v>
      </c>
      <c r="BH21" s="152">
        <f t="shared" si="26"/>
        <v>0</v>
      </c>
      <c r="BI21" s="152">
        <f t="shared" si="27"/>
        <v>58.48683362887126</v>
      </c>
      <c r="BJ21" s="153">
        <f t="shared" si="28"/>
        <v>63.615366586493103</v>
      </c>
      <c r="BK21" s="153">
        <f t="shared" si="29"/>
        <v>47.5</v>
      </c>
      <c r="BL21" s="153">
        <f t="shared" si="30"/>
        <v>45.78</v>
      </c>
      <c r="BM21" s="153">
        <f t="shared" si="31"/>
        <v>0</v>
      </c>
      <c r="BN21" s="154">
        <f t="shared" si="32"/>
        <v>215.38220021536435</v>
      </c>
      <c r="BO21" s="153">
        <f t="shared" si="33"/>
        <v>0</v>
      </c>
      <c r="BP21" s="153">
        <f t="shared" si="34"/>
        <v>47.5</v>
      </c>
      <c r="BQ21" s="153">
        <f t="shared" si="35"/>
        <v>47.330787556951364</v>
      </c>
      <c r="BR21" s="153">
        <f t="shared" si="36"/>
        <v>12</v>
      </c>
      <c r="BS21" s="220">
        <f t="shared" si="37"/>
        <v>0</v>
      </c>
      <c r="BT21" s="153">
        <f t="array" ref="BT21">IF($W21&lt;=$O$16,_xlfn.IFS(W21&lt;$F$16,$P$92,W21=$F$16,$P$93,W21&gt;$F$16,$P$94),0)</f>
        <v>33.78</v>
      </c>
      <c r="BU21" s="154">
        <f t="shared" si="38"/>
        <v>93.28</v>
      </c>
      <c r="BV21" s="154">
        <f t="shared" si="39"/>
        <v>122.10220021536435</v>
      </c>
      <c r="BW21" s="150"/>
      <c r="BX21" s="155">
        <f t="shared" si="40"/>
        <v>64.185745936222105</v>
      </c>
      <c r="BY21" s="273">
        <f t="shared" si="43"/>
        <v>0</v>
      </c>
      <c r="CA21"/>
    </row>
    <row r="22" spans="1:79" ht="15.75" customHeight="1">
      <c r="B22" s="55" t="s">
        <v>98</v>
      </c>
      <c r="C22" s="19"/>
      <c r="I22" s="71"/>
      <c r="J22" s="4" t="s">
        <v>98</v>
      </c>
      <c r="N22" s="19" t="s">
        <v>38</v>
      </c>
      <c r="O22" s="36">
        <f>SUM(F23:F24)</f>
        <v>3.4499999999999996E-2</v>
      </c>
      <c r="V22" s="57">
        <f t="shared" si="41"/>
        <v>47573</v>
      </c>
      <c r="W22" s="7">
        <v>6</v>
      </c>
      <c r="X22" s="269" t="str">
        <f t="shared" si="0"/>
        <v>維持管理・運営期間</v>
      </c>
      <c r="Y22" s="158">
        <f t="shared" si="1"/>
        <v>0</v>
      </c>
      <c r="Z22" s="156">
        <f t="shared" si="2"/>
        <v>0</v>
      </c>
      <c r="AA22" s="156">
        <f t="shared" si="3"/>
        <v>0</v>
      </c>
      <c r="AB22" s="156">
        <f t="shared" si="4"/>
        <v>0</v>
      </c>
      <c r="AC22" s="157">
        <f t="shared" si="5"/>
        <v>0</v>
      </c>
      <c r="AD22" s="158">
        <f t="shared" si="6"/>
        <v>0</v>
      </c>
      <c r="AE22" s="156">
        <f t="shared" si="7"/>
        <v>50</v>
      </c>
      <c r="AF22" s="156">
        <f t="shared" si="8"/>
        <v>10</v>
      </c>
      <c r="AG22" s="222">
        <f>IF(AND(SUM($AA$16:AA21)&gt;0,SUM($AG$16:AG21)&lt;$O$62,$W22&gt;=$O$65),$O$64,0)</f>
        <v>0</v>
      </c>
      <c r="AH22" s="220">
        <f>IF(SUM($AA$17:$AA21)&gt;0,($O$62-SUM($AG$17:$AG21))*$E$65,0)</f>
        <v>19.237500000000001</v>
      </c>
      <c r="AI22" s="157">
        <f t="shared" si="9"/>
        <v>60</v>
      </c>
      <c r="AJ22" s="153">
        <f t="shared" si="10"/>
        <v>-60</v>
      </c>
      <c r="AK22" s="155">
        <f>(SUM($P$31,$P$51)-SUM($AU$17:AU21))*$O$109</f>
        <v>22.504417254258581</v>
      </c>
      <c r="AL22" s="160"/>
      <c r="AM22" s="154">
        <f t="shared" si="11"/>
        <v>-48.951756554530746</v>
      </c>
      <c r="AN22" s="161"/>
      <c r="AO22" s="152">
        <f t="shared" si="12"/>
        <v>0</v>
      </c>
      <c r="AP22" s="153">
        <f t="shared" si="13"/>
        <v>0</v>
      </c>
      <c r="AQ22" s="153">
        <f t="shared" si="14"/>
        <v>0</v>
      </c>
      <c r="AR22" s="156">
        <f t="shared" si="15"/>
        <v>0</v>
      </c>
      <c r="AS22" s="157">
        <f t="shared" si="16"/>
        <v>0</v>
      </c>
      <c r="AT22" s="156">
        <f t="shared" si="17"/>
        <v>0</v>
      </c>
      <c r="AU22" s="156">
        <f t="shared" si="18"/>
        <v>60.797063557211672</v>
      </c>
      <c r="AV22" s="156">
        <f t="shared" si="19"/>
        <v>61.305136658152698</v>
      </c>
      <c r="AW22" s="156">
        <f t="shared" si="20"/>
        <v>47.5</v>
      </c>
      <c r="AX22" s="267">
        <f t="shared" si="21"/>
        <v>6</v>
      </c>
      <c r="AY22" s="268">
        <f t="shared" si="22"/>
        <v>45.78</v>
      </c>
      <c r="AZ22" s="267">
        <f>IF(AND(SUM($AQ$16:AQ21)&gt;0,SUM($AZ$16:AZ21)&lt;$P$62,$W22&gt;=$P$65),$P$64,0)</f>
        <v>0</v>
      </c>
      <c r="BA22" s="156">
        <f>IF(SUM($AQ$17:$AQ21)&gt;0,($P$62-SUM($AZ$17:$AZ21))*$F$65,0)</f>
        <v>3.2062499999999998</v>
      </c>
      <c r="BB22" s="157">
        <f t="shared" si="23"/>
        <v>221.38220021536438</v>
      </c>
      <c r="BC22" s="153">
        <f t="shared" si="24"/>
        <v>-221.38220021536438</v>
      </c>
      <c r="BD22" s="154">
        <f t="shared" si="25"/>
        <v>-180.6174595074817</v>
      </c>
      <c r="BE22" s="48"/>
      <c r="BF22" s="46">
        <f t="shared" si="42"/>
        <v>0.81586260924217913</v>
      </c>
      <c r="BH22" s="152">
        <f t="shared" si="26"/>
        <v>0</v>
      </c>
      <c r="BI22" s="152">
        <f t="shared" si="27"/>
        <v>60.797063557211672</v>
      </c>
      <c r="BJ22" s="153">
        <f t="shared" si="28"/>
        <v>61.305136658152698</v>
      </c>
      <c r="BK22" s="153">
        <f t="shared" si="29"/>
        <v>47.5</v>
      </c>
      <c r="BL22" s="153">
        <f t="shared" si="30"/>
        <v>45.78</v>
      </c>
      <c r="BM22" s="153">
        <f t="shared" si="31"/>
        <v>0</v>
      </c>
      <c r="BN22" s="154">
        <f t="shared" si="32"/>
        <v>215.38220021536438</v>
      </c>
      <c r="BO22" s="153">
        <f t="shared" si="33"/>
        <v>0</v>
      </c>
      <c r="BP22" s="153">
        <f t="shared" si="34"/>
        <v>47.5</v>
      </c>
      <c r="BQ22" s="153">
        <f t="shared" si="35"/>
        <v>45.437308051832815</v>
      </c>
      <c r="BR22" s="153">
        <f t="shared" si="36"/>
        <v>12</v>
      </c>
      <c r="BS22" s="220">
        <f t="shared" si="37"/>
        <v>0</v>
      </c>
      <c r="BT22" s="153">
        <f t="array" ref="BT22">IF($W22&lt;=$O$16,_xlfn.IFS(W22&lt;$F$16,$P$92,W22=$F$16,$P$93,W22&gt;$F$16,$P$94),0)</f>
        <v>33.78</v>
      </c>
      <c r="BU22" s="154">
        <f t="shared" si="38"/>
        <v>93.28</v>
      </c>
      <c r="BV22" s="154">
        <f t="shared" si="39"/>
        <v>122.10220021536438</v>
      </c>
      <c r="BW22" s="150"/>
      <c r="BX22" s="155">
        <f t="shared" si="40"/>
        <v>66.07922544134064</v>
      </c>
      <c r="BY22" s="273">
        <f t="shared" si="43"/>
        <v>0</v>
      </c>
      <c r="CA22"/>
    </row>
    <row r="23" spans="1:79" ht="15.75" customHeight="1">
      <c r="C23" t="s">
        <v>99</v>
      </c>
      <c r="F23" s="15">
        <v>1.4500000000000001E-2</v>
      </c>
      <c r="H23" t="s">
        <v>100</v>
      </c>
      <c r="V23" s="57">
        <f t="shared" si="41"/>
        <v>47938</v>
      </c>
      <c r="W23" s="7">
        <v>7</v>
      </c>
      <c r="X23" s="269" t="str">
        <f t="shared" si="0"/>
        <v>維持管理・運営期間</v>
      </c>
      <c r="Y23" s="158">
        <f t="shared" si="1"/>
        <v>0</v>
      </c>
      <c r="Z23" s="156">
        <f t="shared" si="2"/>
        <v>0</v>
      </c>
      <c r="AA23" s="156">
        <f t="shared" si="3"/>
        <v>0</v>
      </c>
      <c r="AB23" s="156">
        <f t="shared" si="4"/>
        <v>0</v>
      </c>
      <c r="AC23" s="157">
        <f t="shared" si="5"/>
        <v>0</v>
      </c>
      <c r="AD23" s="158">
        <f t="shared" si="6"/>
        <v>0</v>
      </c>
      <c r="AE23" s="156">
        <f t="shared" si="7"/>
        <v>50</v>
      </c>
      <c r="AF23" s="156">
        <f t="shared" si="8"/>
        <v>10</v>
      </c>
      <c r="AG23" s="222">
        <f>IF(AND(SUM($AA$16:AA22)&gt;0,SUM($AG$16:AG22)&lt;$O$62,$W23&gt;=$O$65),$O$64,0)</f>
        <v>64.125</v>
      </c>
      <c r="AH23" s="220">
        <f>IF(SUM($AA$17:$AA22)&gt;0,($O$62-SUM($AG$17:$AG22))*$E$65,0)</f>
        <v>19.237500000000001</v>
      </c>
      <c r="AI23" s="157">
        <f t="shared" si="9"/>
        <v>60</v>
      </c>
      <c r="AJ23" s="153">
        <f t="shared" si="10"/>
        <v>-60</v>
      </c>
      <c r="AK23" s="155">
        <f>(SUM($P$31,$P$51)-SUM($AU$17:AU22))*$O$109</f>
        <v>21.622859832679016</v>
      </c>
      <c r="AL23" s="160"/>
      <c r="AM23" s="154">
        <f t="shared" si="11"/>
        <v>-47.319242682001693</v>
      </c>
      <c r="AN23" s="161"/>
      <c r="AO23" s="152">
        <f t="shared" si="12"/>
        <v>0</v>
      </c>
      <c r="AP23" s="153">
        <f t="shared" si="13"/>
        <v>0</v>
      </c>
      <c r="AQ23" s="153">
        <f t="shared" si="14"/>
        <v>0</v>
      </c>
      <c r="AR23" s="156">
        <f t="shared" si="15"/>
        <v>0</v>
      </c>
      <c r="AS23" s="157">
        <f t="shared" si="16"/>
        <v>0</v>
      </c>
      <c r="AT23" s="156">
        <f t="shared" si="17"/>
        <v>0</v>
      </c>
      <c r="AU23" s="156">
        <f t="shared" si="18"/>
        <v>63.198547567721533</v>
      </c>
      <c r="AV23" s="156">
        <f t="shared" si="19"/>
        <v>58.903652647642836</v>
      </c>
      <c r="AW23" s="156">
        <f t="shared" si="20"/>
        <v>47.5</v>
      </c>
      <c r="AX23" s="267">
        <f t="shared" si="21"/>
        <v>6</v>
      </c>
      <c r="AY23" s="268">
        <f t="shared" si="22"/>
        <v>45.78</v>
      </c>
      <c r="AZ23" s="267">
        <f>IF(AND(SUM($AQ$16:AQ22)&gt;0,SUM($AZ$16:AZ22)&lt;$P$62,$W23&gt;=$P$65),$P$64,0)</f>
        <v>10.6875</v>
      </c>
      <c r="BA23" s="156">
        <f>IF(SUM($AQ$17:$AQ22)&gt;0,($P$62-SUM($AZ$17:$AZ22))*$F$65,0)</f>
        <v>3.2062499999999998</v>
      </c>
      <c r="BB23" s="157">
        <f t="shared" si="23"/>
        <v>221.38220021536438</v>
      </c>
      <c r="BC23" s="153">
        <f t="shared" si="24"/>
        <v>-221.38220021536438</v>
      </c>
      <c r="BD23" s="154">
        <f t="shared" si="25"/>
        <v>-174.59396762443856</v>
      </c>
      <c r="BE23" s="48"/>
      <c r="BF23" s="46">
        <f t="shared" si="42"/>
        <v>0.7886540447000282</v>
      </c>
      <c r="BH23" s="152">
        <f t="shared" si="26"/>
        <v>0</v>
      </c>
      <c r="BI23" s="152">
        <f t="shared" si="27"/>
        <v>63.198547567721533</v>
      </c>
      <c r="BJ23" s="153">
        <f t="shared" si="28"/>
        <v>58.903652647642836</v>
      </c>
      <c r="BK23" s="153">
        <f t="shared" si="29"/>
        <v>47.5</v>
      </c>
      <c r="BL23" s="153">
        <f t="shared" si="30"/>
        <v>45.78</v>
      </c>
      <c r="BM23" s="153">
        <f t="shared" si="31"/>
        <v>0</v>
      </c>
      <c r="BN23" s="154">
        <f t="shared" si="32"/>
        <v>215.38220021536438</v>
      </c>
      <c r="BO23" s="153">
        <f t="shared" si="33"/>
        <v>0</v>
      </c>
      <c r="BP23" s="153">
        <f t="shared" si="34"/>
        <v>47.5</v>
      </c>
      <c r="BQ23" s="153">
        <f t="shared" si="35"/>
        <v>43.48797090131329</v>
      </c>
      <c r="BR23" s="153">
        <f t="shared" si="36"/>
        <v>12</v>
      </c>
      <c r="BS23" s="220">
        <f t="shared" si="37"/>
        <v>0</v>
      </c>
      <c r="BT23" s="153">
        <f t="array" ref="BT23">IF($W23&lt;=$O$16,_xlfn.IFS(W23&lt;$F$16,$P$92,W23=$F$16,$P$93,W23&gt;$F$16,$P$94),0)</f>
        <v>33.78</v>
      </c>
      <c r="BU23" s="154">
        <f t="shared" si="38"/>
        <v>93.28</v>
      </c>
      <c r="BV23" s="154">
        <f t="shared" si="39"/>
        <v>122.10220021536438</v>
      </c>
      <c r="BW23" s="150"/>
      <c r="BX23" s="155">
        <f t="shared" si="40"/>
        <v>68.028562591860194</v>
      </c>
      <c r="BY23" s="273">
        <f t="shared" si="43"/>
        <v>0</v>
      </c>
      <c r="CA23"/>
    </row>
    <row r="24" spans="1:79" ht="15.75" customHeight="1">
      <c r="C24" t="s">
        <v>5</v>
      </c>
      <c r="F24" s="193">
        <f>事業費用概算!J34</f>
        <v>1.9999999999999997E-2</v>
      </c>
      <c r="V24" s="57">
        <f t="shared" si="41"/>
        <v>48304</v>
      </c>
      <c r="W24" s="7">
        <v>8</v>
      </c>
      <c r="X24" s="269" t="str">
        <f t="shared" si="0"/>
        <v>維持管理・運営期間</v>
      </c>
      <c r="Y24" s="158">
        <f t="shared" si="1"/>
        <v>0</v>
      </c>
      <c r="Z24" s="156">
        <f t="shared" si="2"/>
        <v>0</v>
      </c>
      <c r="AA24" s="156">
        <f t="shared" si="3"/>
        <v>0</v>
      </c>
      <c r="AB24" s="156">
        <f t="shared" si="4"/>
        <v>0</v>
      </c>
      <c r="AC24" s="157">
        <f t="shared" si="5"/>
        <v>0</v>
      </c>
      <c r="AD24" s="158">
        <f t="shared" si="6"/>
        <v>0</v>
      </c>
      <c r="AE24" s="156">
        <f t="shared" si="7"/>
        <v>50</v>
      </c>
      <c r="AF24" s="156">
        <f t="shared" si="8"/>
        <v>10</v>
      </c>
      <c r="AG24" s="222">
        <f>IF(AND(SUM($AA$16:AA23)&gt;0,SUM($AG$16:AG23)&lt;$O$62,$W24&gt;=$O$65),$O$64,0)</f>
        <v>64.125</v>
      </c>
      <c r="AH24" s="220">
        <f>IF(SUM($AA$17:$AA23)&gt;0,($O$62-SUM($AG$17:$AG23))*$E$65,0)</f>
        <v>18.275624999999998</v>
      </c>
      <c r="AI24" s="157">
        <f t="shared" si="9"/>
        <v>60</v>
      </c>
      <c r="AJ24" s="153">
        <f t="shared" si="10"/>
        <v>-60</v>
      </c>
      <c r="AK24" s="155">
        <f>(SUM($P$31,$P$51)-SUM($AU$17:AU23))*$O$109</f>
        <v>20.706480892947052</v>
      </c>
      <c r="AL24" s="160"/>
      <c r="AM24" s="154">
        <f t="shared" si="11"/>
        <v>-45.741172239730979</v>
      </c>
      <c r="AN24" s="161"/>
      <c r="AO24" s="152">
        <f t="shared" si="12"/>
        <v>0</v>
      </c>
      <c r="AP24" s="153">
        <f t="shared" si="13"/>
        <v>0</v>
      </c>
      <c r="AQ24" s="153">
        <f t="shared" si="14"/>
        <v>0</v>
      </c>
      <c r="AR24" s="156">
        <f t="shared" si="15"/>
        <v>0</v>
      </c>
      <c r="AS24" s="157">
        <f t="shared" si="16"/>
        <v>0</v>
      </c>
      <c r="AT24" s="156">
        <f t="shared" si="17"/>
        <v>0</v>
      </c>
      <c r="AU24" s="156">
        <f t="shared" si="18"/>
        <v>65.69489019664654</v>
      </c>
      <c r="AV24" s="156">
        <f t="shared" si="19"/>
        <v>56.407310018717823</v>
      </c>
      <c r="AW24" s="156">
        <f t="shared" si="20"/>
        <v>47.5</v>
      </c>
      <c r="AX24" s="267">
        <f t="shared" si="21"/>
        <v>6</v>
      </c>
      <c r="AY24" s="268">
        <f t="shared" si="22"/>
        <v>45.78</v>
      </c>
      <c r="AZ24" s="267">
        <f>IF(AND(SUM($AQ$16:AQ23)&gt;0,SUM($AZ$16:AZ23)&lt;$P$62,$W24&gt;=$P$65),$P$64,0)</f>
        <v>10.6875</v>
      </c>
      <c r="BA24" s="156">
        <f>IF(SUM($AQ$17:$AQ23)&gt;0,($P$62-SUM($AZ$17:$AZ23))*$F$65,0)</f>
        <v>3.0459375</v>
      </c>
      <c r="BB24" s="157">
        <f t="shared" si="23"/>
        <v>221.38220021536435</v>
      </c>
      <c r="BC24" s="153">
        <f t="shared" si="24"/>
        <v>-221.38220021536435</v>
      </c>
      <c r="BD24" s="154">
        <f t="shared" si="25"/>
        <v>-168.77135584769314</v>
      </c>
      <c r="BE24" s="48"/>
      <c r="BF24" s="46">
        <f t="shared" si="42"/>
        <v>0.76235287066218294</v>
      </c>
      <c r="BH24" s="152">
        <f t="shared" si="26"/>
        <v>0</v>
      </c>
      <c r="BI24" s="152">
        <f t="shared" si="27"/>
        <v>65.69489019664654</v>
      </c>
      <c r="BJ24" s="153">
        <f t="shared" si="28"/>
        <v>56.407310018717823</v>
      </c>
      <c r="BK24" s="153">
        <f t="shared" si="29"/>
        <v>47.5</v>
      </c>
      <c r="BL24" s="153">
        <f t="shared" si="30"/>
        <v>45.78</v>
      </c>
      <c r="BM24" s="153">
        <f t="shared" si="31"/>
        <v>0</v>
      </c>
      <c r="BN24" s="154">
        <f t="shared" si="32"/>
        <v>215.38220021536435</v>
      </c>
      <c r="BO24" s="153">
        <f t="shared" si="33"/>
        <v>0</v>
      </c>
      <c r="BP24" s="153">
        <f t="shared" si="34"/>
        <v>47.5</v>
      </c>
      <c r="BQ24" s="153">
        <f t="shared" si="35"/>
        <v>41.481128304853407</v>
      </c>
      <c r="BR24" s="153">
        <f t="shared" si="36"/>
        <v>12</v>
      </c>
      <c r="BS24" s="220">
        <f t="shared" si="37"/>
        <v>0</v>
      </c>
      <c r="BT24" s="153">
        <f t="array" ref="BT24">IF($W24&lt;=$O$16,_xlfn.IFS(W24&lt;$F$16,$P$92,W24=$F$16,$P$93,W24&gt;$F$16,$P$94),0)</f>
        <v>33.78</v>
      </c>
      <c r="BU24" s="154">
        <f t="shared" si="38"/>
        <v>93.28</v>
      </c>
      <c r="BV24" s="154">
        <f t="shared" si="39"/>
        <v>122.10220021536435</v>
      </c>
      <c r="BW24" s="150"/>
      <c r="BX24" s="155">
        <f t="shared" si="40"/>
        <v>70.03540518832007</v>
      </c>
      <c r="BY24" s="273">
        <f t="shared" si="43"/>
        <v>0</v>
      </c>
      <c r="CA24"/>
    </row>
    <row r="25" spans="1:79" ht="15.75" customHeight="1">
      <c r="V25" s="57">
        <f t="shared" si="41"/>
        <v>48669</v>
      </c>
      <c r="W25" s="7">
        <v>9</v>
      </c>
      <c r="X25" s="269" t="str">
        <f t="shared" si="0"/>
        <v>維持管理・運営期間</v>
      </c>
      <c r="Y25" s="158">
        <f t="shared" si="1"/>
        <v>0</v>
      </c>
      <c r="Z25" s="156">
        <f t="shared" si="2"/>
        <v>0</v>
      </c>
      <c r="AA25" s="156">
        <f t="shared" si="3"/>
        <v>0</v>
      </c>
      <c r="AB25" s="156">
        <f t="shared" si="4"/>
        <v>0</v>
      </c>
      <c r="AC25" s="157">
        <f t="shared" si="5"/>
        <v>0</v>
      </c>
      <c r="AD25" s="158">
        <f t="shared" si="6"/>
        <v>0</v>
      </c>
      <c r="AE25" s="156">
        <f t="shared" si="7"/>
        <v>50</v>
      </c>
      <c r="AF25" s="156">
        <f t="shared" si="8"/>
        <v>10</v>
      </c>
      <c r="AG25" s="222">
        <f>IF(AND(SUM($AA$16:AA24)&gt;0,SUM($AG$16:AG24)&lt;$O$62,$W25&gt;=$O$65),$O$64,0)</f>
        <v>64.125</v>
      </c>
      <c r="AH25" s="220">
        <f>IF(SUM($AA$17:$AA24)&gt;0,($O$62-SUM($AG$17:$AG24))*$E$65,0)</f>
        <v>17.313749999999999</v>
      </c>
      <c r="AI25" s="157">
        <f t="shared" si="9"/>
        <v>60</v>
      </c>
      <c r="AJ25" s="153">
        <f t="shared" si="10"/>
        <v>-60</v>
      </c>
      <c r="AK25" s="155">
        <f>(SUM($P$31,$P$51)-SUM($AU$17:AU24))*$O$109</f>
        <v>19.753904985095676</v>
      </c>
      <c r="AL25" s="160"/>
      <c r="AM25" s="154">
        <f t="shared" si="11"/>
        <v>-44.215729569580446</v>
      </c>
      <c r="AN25" s="161"/>
      <c r="AO25" s="152">
        <f t="shared" si="12"/>
        <v>0</v>
      </c>
      <c r="AP25" s="153">
        <f t="shared" si="13"/>
        <v>0</v>
      </c>
      <c r="AQ25" s="153">
        <f t="shared" si="14"/>
        <v>0</v>
      </c>
      <c r="AR25" s="156">
        <f t="shared" si="15"/>
        <v>0</v>
      </c>
      <c r="AS25" s="157">
        <f t="shared" si="16"/>
        <v>0</v>
      </c>
      <c r="AT25" s="156">
        <f t="shared" si="17"/>
        <v>0</v>
      </c>
      <c r="AU25" s="156">
        <f t="shared" si="18"/>
        <v>68.289838359414063</v>
      </c>
      <c r="AV25" s="156">
        <f t="shared" si="19"/>
        <v>53.812361855950279</v>
      </c>
      <c r="AW25" s="156">
        <f t="shared" si="20"/>
        <v>47.5</v>
      </c>
      <c r="AX25" s="267">
        <f t="shared" si="21"/>
        <v>6</v>
      </c>
      <c r="AY25" s="268">
        <f t="shared" si="22"/>
        <v>45.78</v>
      </c>
      <c r="AZ25" s="267">
        <f>IF(AND(SUM($AQ$16:AQ24)&gt;0,SUM($AZ$16:AZ24)&lt;$P$62,$W25&gt;=$P$65),$P$64,0)</f>
        <v>10.6875</v>
      </c>
      <c r="BA25" s="156">
        <f>IF(SUM($AQ$17:$AQ24)&gt;0,($P$62-SUM($AZ$17:$AZ24))*$F$65,0)</f>
        <v>2.8856250000000001</v>
      </c>
      <c r="BB25" s="157">
        <f t="shared" si="23"/>
        <v>221.38220021536435</v>
      </c>
      <c r="BC25" s="153">
        <f t="shared" si="24"/>
        <v>-221.38220021536435</v>
      </c>
      <c r="BD25" s="154">
        <f t="shared" si="25"/>
        <v>-163.14292493735442</v>
      </c>
      <c r="BE25" s="48"/>
      <c r="BF25" s="46">
        <f t="shared" si="42"/>
        <v>0.73692882615967414</v>
      </c>
      <c r="BH25" s="152">
        <f t="shared" si="26"/>
        <v>0</v>
      </c>
      <c r="BI25" s="152">
        <f t="shared" si="27"/>
        <v>68.289838359414063</v>
      </c>
      <c r="BJ25" s="153">
        <f t="shared" si="28"/>
        <v>53.812361855950279</v>
      </c>
      <c r="BK25" s="153">
        <f t="shared" si="29"/>
        <v>47.5</v>
      </c>
      <c r="BL25" s="153">
        <f t="shared" si="30"/>
        <v>45.78</v>
      </c>
      <c r="BM25" s="153">
        <f t="shared" si="31"/>
        <v>0</v>
      </c>
      <c r="BN25" s="154">
        <f t="shared" si="32"/>
        <v>215.38220021536435</v>
      </c>
      <c r="BO25" s="153">
        <f t="shared" si="33"/>
        <v>0</v>
      </c>
      <c r="BP25" s="153">
        <f t="shared" si="34"/>
        <v>47.5</v>
      </c>
      <c r="BQ25" s="153">
        <f t="shared" si="35"/>
        <v>39.415083851797959</v>
      </c>
      <c r="BR25" s="153">
        <f t="shared" si="36"/>
        <v>12</v>
      </c>
      <c r="BS25" s="220">
        <f t="shared" si="37"/>
        <v>0</v>
      </c>
      <c r="BT25" s="153">
        <f t="array" ref="BT25">IF($W25&lt;=$O$16,_xlfn.IFS(W25&lt;$F$16,$P$92,W25=$F$16,$P$93,W25&gt;$F$16,$P$94),0)</f>
        <v>33.78</v>
      </c>
      <c r="BU25" s="154">
        <f t="shared" si="38"/>
        <v>93.28</v>
      </c>
      <c r="BV25" s="154">
        <f t="shared" si="39"/>
        <v>122.10220021536435</v>
      </c>
      <c r="BW25" s="150"/>
      <c r="BX25" s="155">
        <f t="shared" si="40"/>
        <v>72.101449641375524</v>
      </c>
      <c r="BY25" s="273">
        <f t="shared" si="43"/>
        <v>0</v>
      </c>
      <c r="CA25"/>
    </row>
    <row r="26" spans="1:79" ht="13.5" customHeight="1">
      <c r="V26" s="57">
        <f t="shared" si="41"/>
        <v>49034</v>
      </c>
      <c r="W26" s="7">
        <v>10</v>
      </c>
      <c r="X26" s="269" t="str">
        <f t="shared" si="0"/>
        <v>維持管理・運営期間</v>
      </c>
      <c r="Y26" s="158">
        <f t="shared" si="1"/>
        <v>0</v>
      </c>
      <c r="Z26" s="156">
        <f t="shared" si="2"/>
        <v>0</v>
      </c>
      <c r="AA26" s="156">
        <f t="shared" si="3"/>
        <v>0</v>
      </c>
      <c r="AB26" s="156">
        <f t="shared" si="4"/>
        <v>0</v>
      </c>
      <c r="AC26" s="157">
        <f t="shared" si="5"/>
        <v>0</v>
      </c>
      <c r="AD26" s="158">
        <f t="shared" si="6"/>
        <v>0</v>
      </c>
      <c r="AE26" s="156">
        <f t="shared" si="7"/>
        <v>50</v>
      </c>
      <c r="AF26" s="156">
        <f t="shared" si="8"/>
        <v>10</v>
      </c>
      <c r="AG26" s="222">
        <f>IF(AND(SUM($AA$16:AA25)&gt;0,SUM($AG$16:AG25)&lt;$O$62,$W26&gt;=$O$65),$O$64,0)</f>
        <v>64.125</v>
      </c>
      <c r="AH26" s="220">
        <f>IF(SUM($AA$17:$AA25)&gt;0,($O$62-SUM($AG$17:$AG25))*$E$65,0)</f>
        <v>16.351875</v>
      </c>
      <c r="AI26" s="157">
        <f t="shared" si="9"/>
        <v>60</v>
      </c>
      <c r="AJ26" s="153">
        <f t="shared" si="10"/>
        <v>-60</v>
      </c>
      <c r="AK26" s="155">
        <f>(SUM($P$31,$P$51)-SUM($AU$17:AU25))*$O$109</f>
        <v>18.763702328884172</v>
      </c>
      <c r="AL26" s="160"/>
      <c r="AM26" s="154">
        <f t="shared" si="11"/>
        <v>-42.741159564601695</v>
      </c>
      <c r="AN26" s="161"/>
      <c r="AO26" s="152">
        <f t="shared" si="12"/>
        <v>0</v>
      </c>
      <c r="AP26" s="153">
        <f t="shared" si="13"/>
        <v>0</v>
      </c>
      <c r="AQ26" s="153">
        <f t="shared" si="14"/>
        <v>0</v>
      </c>
      <c r="AR26" s="156">
        <f t="shared" si="15"/>
        <v>0</v>
      </c>
      <c r="AS26" s="157">
        <f t="shared" si="16"/>
        <v>0</v>
      </c>
      <c r="AT26" s="156">
        <f t="shared" si="17"/>
        <v>0</v>
      </c>
      <c r="AU26" s="156">
        <f t="shared" si="18"/>
        <v>70.987286974610925</v>
      </c>
      <c r="AV26" s="156">
        <f t="shared" si="19"/>
        <v>51.114913240753431</v>
      </c>
      <c r="AW26" s="156">
        <f t="shared" si="20"/>
        <v>47.5</v>
      </c>
      <c r="AX26" s="267">
        <f t="shared" si="21"/>
        <v>6</v>
      </c>
      <c r="AY26" s="268">
        <f t="shared" si="22"/>
        <v>45.78</v>
      </c>
      <c r="AZ26" s="267">
        <f>IF(AND(SUM($AQ$16:AQ25)&gt;0,SUM($AZ$16:AZ25)&lt;$P$62,$W26&gt;=$P$65),$P$64,0)</f>
        <v>10.6875</v>
      </c>
      <c r="BA26" s="156">
        <f>IF(SUM($AQ$17:$AQ25)&gt;0,($P$62-SUM($AZ$17:$AZ25))*$F$65,0)</f>
        <v>2.7253124999999998</v>
      </c>
      <c r="BB26" s="157">
        <f t="shared" si="23"/>
        <v>221.38220021536435</v>
      </c>
      <c r="BC26" s="153">
        <f t="shared" si="24"/>
        <v>-221.38220021536435</v>
      </c>
      <c r="BD26" s="154">
        <f t="shared" si="25"/>
        <v>-157.70219906945812</v>
      </c>
      <c r="BE26" s="48"/>
      <c r="BF26" s="46">
        <f t="shared" si="42"/>
        <v>0.71235265941002823</v>
      </c>
      <c r="BH26" s="152">
        <f t="shared" si="26"/>
        <v>0</v>
      </c>
      <c r="BI26" s="152">
        <f t="shared" si="27"/>
        <v>70.987286974610925</v>
      </c>
      <c r="BJ26" s="153">
        <f t="shared" si="28"/>
        <v>51.114913240753431</v>
      </c>
      <c r="BK26" s="153">
        <f t="shared" si="29"/>
        <v>47.5</v>
      </c>
      <c r="BL26" s="153">
        <f t="shared" si="30"/>
        <v>45.78</v>
      </c>
      <c r="BM26" s="153">
        <f t="shared" si="31"/>
        <v>0</v>
      </c>
      <c r="BN26" s="154">
        <f t="shared" si="32"/>
        <v>215.38220021536435</v>
      </c>
      <c r="BO26" s="153">
        <f t="shared" si="33"/>
        <v>0</v>
      </c>
      <c r="BP26" s="153">
        <f t="shared" si="34"/>
        <v>47.5</v>
      </c>
      <c r="BQ26" s="153">
        <f t="shared" si="35"/>
        <v>37.288091087377381</v>
      </c>
      <c r="BR26" s="153">
        <f t="shared" si="36"/>
        <v>12</v>
      </c>
      <c r="BS26" s="220">
        <f t="shared" si="37"/>
        <v>0</v>
      </c>
      <c r="BT26" s="153">
        <f t="array" ref="BT26">IF($W26&lt;=$O$16,_xlfn.IFS(W26&lt;$F$16,$P$92,W26=$F$16,$P$93,W26&gt;$F$16,$P$94),0)</f>
        <v>33.78</v>
      </c>
      <c r="BU26" s="154">
        <f t="shared" si="38"/>
        <v>93.28</v>
      </c>
      <c r="BV26" s="154">
        <f t="shared" si="39"/>
        <v>122.10220021536435</v>
      </c>
      <c r="BW26" s="150"/>
      <c r="BX26" s="155">
        <f t="shared" si="40"/>
        <v>74.228442405796088</v>
      </c>
      <c r="BY26" s="273">
        <f t="shared" si="43"/>
        <v>0</v>
      </c>
      <c r="CA26"/>
    </row>
    <row r="27" spans="1:79" ht="15.75" customHeight="1">
      <c r="A27" s="4" t="s">
        <v>101</v>
      </c>
      <c r="H27" s="71"/>
      <c r="I27" s="71"/>
      <c r="J27" s="4" t="s">
        <v>102</v>
      </c>
      <c r="V27" s="57">
        <f t="shared" si="41"/>
        <v>49399</v>
      </c>
      <c r="W27" s="7">
        <v>11</v>
      </c>
      <c r="X27" s="269" t="str">
        <f t="shared" si="0"/>
        <v>維持管理・運営期間</v>
      </c>
      <c r="Y27" s="158">
        <f t="shared" si="1"/>
        <v>0</v>
      </c>
      <c r="Z27" s="156">
        <f t="shared" si="2"/>
        <v>0</v>
      </c>
      <c r="AA27" s="156">
        <f t="shared" si="3"/>
        <v>0</v>
      </c>
      <c r="AB27" s="156">
        <f t="shared" si="4"/>
        <v>0</v>
      </c>
      <c r="AC27" s="157">
        <f t="shared" si="5"/>
        <v>0</v>
      </c>
      <c r="AD27" s="158">
        <f t="shared" si="6"/>
        <v>0</v>
      </c>
      <c r="AE27" s="156">
        <f t="shared" si="7"/>
        <v>50</v>
      </c>
      <c r="AF27" s="156">
        <f t="shared" si="8"/>
        <v>10</v>
      </c>
      <c r="AG27" s="222">
        <f>IF(AND(SUM($AA$16:AA26)&gt;0,SUM($AG$16:AG26)&lt;$O$62,$W27&gt;=$O$65),$O$64,0)</f>
        <v>64.125</v>
      </c>
      <c r="AH27" s="220">
        <f>IF(SUM($AA$17:$AA26)&gt;0,($O$62-SUM($AG$17:$AG26))*$E$65,0)</f>
        <v>15.389999999999999</v>
      </c>
      <c r="AI27" s="157">
        <f t="shared" si="9"/>
        <v>60</v>
      </c>
      <c r="AJ27" s="153">
        <f t="shared" si="10"/>
        <v>-60</v>
      </c>
      <c r="AK27" s="155">
        <f>(SUM($P$31,$P$51)-SUM($AU$17:AU26))*$O$109</f>
        <v>17.734386667752315</v>
      </c>
      <c r="AL27" s="160"/>
      <c r="AM27" s="154">
        <f t="shared" si="11"/>
        <v>-41.315765649687478</v>
      </c>
      <c r="AN27" s="161"/>
      <c r="AO27" s="152">
        <f t="shared" si="12"/>
        <v>0</v>
      </c>
      <c r="AP27" s="153">
        <f t="shared" si="13"/>
        <v>0</v>
      </c>
      <c r="AQ27" s="153">
        <f t="shared" si="14"/>
        <v>0</v>
      </c>
      <c r="AR27" s="156">
        <f t="shared" si="15"/>
        <v>0</v>
      </c>
      <c r="AS27" s="157">
        <f t="shared" si="16"/>
        <v>0</v>
      </c>
      <c r="AT27" s="156">
        <f t="shared" si="17"/>
        <v>0</v>
      </c>
      <c r="AU27" s="156">
        <f t="shared" si="18"/>
        <v>73.791284810108067</v>
      </c>
      <c r="AV27" s="156">
        <f t="shared" si="19"/>
        <v>48.310915405256296</v>
      </c>
      <c r="AW27" s="156">
        <f t="shared" si="20"/>
        <v>47.5</v>
      </c>
      <c r="AX27" s="267">
        <f t="shared" si="21"/>
        <v>6</v>
      </c>
      <c r="AY27" s="268">
        <f t="shared" si="22"/>
        <v>45.78</v>
      </c>
      <c r="AZ27" s="267">
        <f>IF(AND(SUM($AQ$16:AQ26)&gt;0,SUM($AZ$16:AZ26)&lt;$P$62,$W27&gt;=$P$65),$P$64,0)</f>
        <v>10.6875</v>
      </c>
      <c r="BA27" s="156">
        <f>IF(SUM($AQ$17:$AQ26)&gt;0,($P$62-SUM($AZ$17:$AZ26))*$F$65,0)</f>
        <v>2.5649999999999999</v>
      </c>
      <c r="BB27" s="157">
        <f t="shared" si="23"/>
        <v>221.38220021536435</v>
      </c>
      <c r="BC27" s="153">
        <f t="shared" si="24"/>
        <v>-221.38220021536435</v>
      </c>
      <c r="BD27" s="154">
        <f t="shared" si="25"/>
        <v>-152.44291838516978</v>
      </c>
      <c r="BE27" s="48"/>
      <c r="BF27" s="46">
        <f t="shared" si="42"/>
        <v>0.68859609416145795</v>
      </c>
      <c r="BH27" s="152">
        <f t="shared" si="26"/>
        <v>0</v>
      </c>
      <c r="BI27" s="152">
        <f t="shared" si="27"/>
        <v>73.791284810108067</v>
      </c>
      <c r="BJ27" s="153">
        <f t="shared" si="28"/>
        <v>48.310915405256296</v>
      </c>
      <c r="BK27" s="153">
        <f t="shared" si="29"/>
        <v>47.5</v>
      </c>
      <c r="BL27" s="153">
        <f t="shared" si="30"/>
        <v>45.78</v>
      </c>
      <c r="BM27" s="153">
        <f t="shared" si="31"/>
        <v>0</v>
      </c>
      <c r="BN27" s="154">
        <f t="shared" si="32"/>
        <v>215.38220021536435</v>
      </c>
      <c r="BO27" s="153">
        <f t="shared" si="33"/>
        <v>0</v>
      </c>
      <c r="BP27" s="153">
        <f t="shared" si="34"/>
        <v>47.5</v>
      </c>
      <c r="BQ27" s="153">
        <f t="shared" si="35"/>
        <v>35.098352036406403</v>
      </c>
      <c r="BR27" s="153">
        <f t="shared" si="36"/>
        <v>12</v>
      </c>
      <c r="BS27" s="220">
        <f t="shared" si="37"/>
        <v>0</v>
      </c>
      <c r="BT27" s="153">
        <f t="array" ref="BT27">IF($W27&lt;=$O$16,_xlfn.IFS(W27&lt;$F$16,$P$92,W27=$F$16,$P$93,W27&gt;$F$16,$P$94),0)</f>
        <v>33.78</v>
      </c>
      <c r="BU27" s="154">
        <f t="shared" si="38"/>
        <v>93.28</v>
      </c>
      <c r="BV27" s="154">
        <f t="shared" si="39"/>
        <v>122.10220021536435</v>
      </c>
      <c r="BW27" s="150"/>
      <c r="BX27" s="155">
        <f t="shared" si="40"/>
        <v>76.418181456767087</v>
      </c>
      <c r="BY27" s="273">
        <f t="shared" si="43"/>
        <v>0</v>
      </c>
      <c r="CA27"/>
    </row>
    <row r="28" spans="1:79" ht="15.75" customHeight="1">
      <c r="B28" t="s">
        <v>103</v>
      </c>
      <c r="D28" t="s">
        <v>7</v>
      </c>
      <c r="F28" s="72">
        <f>SUM(F29:F30)</f>
        <v>3000</v>
      </c>
      <c r="J28" s="4" t="s">
        <v>104</v>
      </c>
      <c r="O28" t="s">
        <v>2</v>
      </c>
      <c r="P28" t="s">
        <v>50</v>
      </c>
      <c r="V28" s="57">
        <f t="shared" si="41"/>
        <v>49765</v>
      </c>
      <c r="W28" s="7">
        <v>12</v>
      </c>
      <c r="X28" s="269" t="str">
        <f t="shared" si="0"/>
        <v>維持管理・運営期間</v>
      </c>
      <c r="Y28" s="158">
        <f t="shared" si="1"/>
        <v>0</v>
      </c>
      <c r="Z28" s="156">
        <f t="shared" si="2"/>
        <v>0</v>
      </c>
      <c r="AA28" s="156">
        <f t="shared" si="3"/>
        <v>0</v>
      </c>
      <c r="AB28" s="156">
        <f t="shared" si="4"/>
        <v>0</v>
      </c>
      <c r="AC28" s="157">
        <f t="shared" si="5"/>
        <v>0</v>
      </c>
      <c r="AD28" s="158">
        <f t="shared" si="6"/>
        <v>0</v>
      </c>
      <c r="AE28" s="156">
        <f t="shared" si="7"/>
        <v>50</v>
      </c>
      <c r="AF28" s="156">
        <f t="shared" si="8"/>
        <v>10</v>
      </c>
      <c r="AG28" s="222">
        <f>IF(AND(SUM($AA$16:AA27)&gt;0,SUM($AG$16:AG27)&lt;$O$62,$W28&gt;=$O$65),$O$64,0)</f>
        <v>64.125</v>
      </c>
      <c r="AH28" s="220">
        <f>IF(SUM($AA$17:$AA27)&gt;0,($O$62-SUM($AG$17:$AG27))*$E$65,0)</f>
        <v>14.428125</v>
      </c>
      <c r="AI28" s="157">
        <f t="shared" si="9"/>
        <v>60</v>
      </c>
      <c r="AJ28" s="153">
        <f t="shared" si="10"/>
        <v>-60</v>
      </c>
      <c r="AK28" s="155">
        <f>(SUM($P$31,$P$51)-SUM($AU$17:AU27))*$O$109</f>
        <v>16.664413038005748</v>
      </c>
      <c r="AL28" s="160"/>
      <c r="AM28" s="154">
        <f t="shared" si="11"/>
        <v>-39.937907829567408</v>
      </c>
      <c r="AN28" s="161"/>
      <c r="AO28" s="152">
        <f t="shared" si="12"/>
        <v>0</v>
      </c>
      <c r="AP28" s="153">
        <f t="shared" si="13"/>
        <v>0</v>
      </c>
      <c r="AQ28" s="153">
        <f t="shared" si="14"/>
        <v>0</v>
      </c>
      <c r="AR28" s="156">
        <f t="shared" si="15"/>
        <v>0</v>
      </c>
      <c r="AS28" s="157">
        <f t="shared" si="16"/>
        <v>0</v>
      </c>
      <c r="AT28" s="156">
        <f t="shared" si="17"/>
        <v>0</v>
      </c>
      <c r="AU28" s="156">
        <f t="shared" si="18"/>
        <v>76.706040560107326</v>
      </c>
      <c r="AV28" s="156">
        <f t="shared" si="19"/>
        <v>45.39615965525703</v>
      </c>
      <c r="AW28" s="156">
        <f t="shared" si="20"/>
        <v>47.5</v>
      </c>
      <c r="AX28" s="267">
        <f t="shared" si="21"/>
        <v>6</v>
      </c>
      <c r="AY28" s="268">
        <f t="shared" si="22"/>
        <v>45.78</v>
      </c>
      <c r="AZ28" s="267">
        <f>IF(AND(SUM($AQ$16:AQ27)&gt;0,SUM($AZ$16:AZ27)&lt;$P$62,$W28&gt;=$P$65),$P$64,0)</f>
        <v>10.6875</v>
      </c>
      <c r="BA28" s="156">
        <f>IF(SUM($AQ$17:$AQ27)&gt;0,($P$62-SUM($AZ$17:$AZ27))*$F$65,0)</f>
        <v>2.4046875000000001</v>
      </c>
      <c r="BB28" s="157">
        <f t="shared" si="23"/>
        <v>221.38220021536435</v>
      </c>
      <c r="BC28" s="153">
        <f t="shared" si="24"/>
        <v>-221.38220021536435</v>
      </c>
      <c r="BD28" s="154">
        <f t="shared" si="25"/>
        <v>-147.35903178846763</v>
      </c>
      <c r="BE28" s="48"/>
      <c r="BF28" s="46">
        <f t="shared" si="42"/>
        <v>0.66563179715945675</v>
      </c>
      <c r="BH28" s="152">
        <f t="shared" si="26"/>
        <v>0</v>
      </c>
      <c r="BI28" s="152">
        <f t="shared" si="27"/>
        <v>76.706040560107326</v>
      </c>
      <c r="BJ28" s="153">
        <f t="shared" si="28"/>
        <v>45.39615965525703</v>
      </c>
      <c r="BK28" s="153">
        <f t="shared" si="29"/>
        <v>47.5</v>
      </c>
      <c r="BL28" s="153">
        <f t="shared" si="30"/>
        <v>45.78</v>
      </c>
      <c r="BM28" s="153">
        <f t="shared" si="31"/>
        <v>0</v>
      </c>
      <c r="BN28" s="154">
        <f t="shared" si="32"/>
        <v>215.38220021536435</v>
      </c>
      <c r="BO28" s="153">
        <f t="shared" si="33"/>
        <v>0</v>
      </c>
      <c r="BP28" s="153">
        <f t="shared" si="34"/>
        <v>47.5</v>
      </c>
      <c r="BQ28" s="153">
        <f t="shared" si="35"/>
        <v>32.844015683431778</v>
      </c>
      <c r="BR28" s="153">
        <f t="shared" si="36"/>
        <v>12</v>
      </c>
      <c r="BS28" s="220">
        <f t="shared" si="37"/>
        <v>0</v>
      </c>
      <c r="BT28" s="153">
        <f t="array" ref="BT28">IF($W28&lt;=$O$16,_xlfn.IFS(W28&lt;$F$16,$P$92,W28=$F$16,$P$93,W28&gt;$F$16,$P$94),0)</f>
        <v>33.78</v>
      </c>
      <c r="BU28" s="154">
        <f t="shared" si="38"/>
        <v>93.28</v>
      </c>
      <c r="BV28" s="154">
        <f t="shared" si="39"/>
        <v>122.10220021536435</v>
      </c>
      <c r="BW28" s="150"/>
      <c r="BX28" s="155">
        <f t="shared" si="40"/>
        <v>78.672517809741706</v>
      </c>
      <c r="BY28" s="273">
        <f t="shared" si="43"/>
        <v>0</v>
      </c>
      <c r="CA28"/>
    </row>
    <row r="29" spans="1:79" ht="15.75" customHeight="1">
      <c r="C29" s="2" t="s">
        <v>105</v>
      </c>
      <c r="D29" t="s">
        <v>7</v>
      </c>
      <c r="F29" s="195">
        <f>事業費用概算!G6</f>
        <v>0</v>
      </c>
      <c r="K29" t="s">
        <v>83</v>
      </c>
      <c r="N29" s="19" t="s">
        <v>7</v>
      </c>
      <c r="O29" s="51">
        <f>F30*$F$50+F29</f>
        <v>2850</v>
      </c>
      <c r="P29" s="51">
        <f>F28*(1-F51)</f>
        <v>2850</v>
      </c>
      <c r="Q29" t="s">
        <v>106</v>
      </c>
      <c r="V29" s="57">
        <f t="shared" si="41"/>
        <v>50130</v>
      </c>
      <c r="W29" s="7">
        <v>13</v>
      </c>
      <c r="X29" s="269" t="str">
        <f t="shared" si="0"/>
        <v>維持管理・運営期間</v>
      </c>
      <c r="Y29" s="158">
        <f t="shared" si="1"/>
        <v>0</v>
      </c>
      <c r="Z29" s="156">
        <f t="shared" si="2"/>
        <v>0</v>
      </c>
      <c r="AA29" s="156">
        <f t="shared" si="3"/>
        <v>0</v>
      </c>
      <c r="AB29" s="156">
        <f t="shared" si="4"/>
        <v>0</v>
      </c>
      <c r="AC29" s="157">
        <f t="shared" si="5"/>
        <v>0</v>
      </c>
      <c r="AD29" s="158">
        <f t="shared" si="6"/>
        <v>0</v>
      </c>
      <c r="AE29" s="156">
        <f t="shared" si="7"/>
        <v>50</v>
      </c>
      <c r="AF29" s="156">
        <f t="shared" si="8"/>
        <v>10</v>
      </c>
      <c r="AG29" s="222">
        <f>IF(AND(SUM($AA$16:AA28)&gt;0,SUM($AG$16:AG28)&lt;$O$62,$W29&gt;=$O$65),$O$64,0)</f>
        <v>64.125</v>
      </c>
      <c r="AH29" s="220">
        <f>IF(SUM($AA$17:$AA28)&gt;0,($O$62-SUM($AG$17:$AG28))*$E$65,0)</f>
        <v>13.466249999999999</v>
      </c>
      <c r="AI29" s="157">
        <f t="shared" si="9"/>
        <v>60</v>
      </c>
      <c r="AJ29" s="153">
        <f t="shared" si="10"/>
        <v>-60</v>
      </c>
      <c r="AK29" s="155">
        <f>(SUM($P$31,$P$51)-SUM($AU$17:AU28))*$O$109</f>
        <v>15.552175449884192</v>
      </c>
      <c r="AL29" s="160"/>
      <c r="AM29" s="154">
        <f t="shared" si="11"/>
        <v>-38.6060008019018</v>
      </c>
      <c r="AN29" s="161"/>
      <c r="AO29" s="152">
        <f t="shared" si="12"/>
        <v>0</v>
      </c>
      <c r="AP29" s="153">
        <f t="shared" si="13"/>
        <v>0</v>
      </c>
      <c r="AQ29" s="153">
        <f t="shared" si="14"/>
        <v>0</v>
      </c>
      <c r="AR29" s="156">
        <f t="shared" si="15"/>
        <v>0</v>
      </c>
      <c r="AS29" s="157">
        <f t="shared" si="16"/>
        <v>0</v>
      </c>
      <c r="AT29" s="156">
        <f t="shared" si="17"/>
        <v>0</v>
      </c>
      <c r="AU29" s="156">
        <f t="shared" si="18"/>
        <v>79.735929162231571</v>
      </c>
      <c r="AV29" s="156">
        <f t="shared" si="19"/>
        <v>42.366271053132792</v>
      </c>
      <c r="AW29" s="156">
        <f t="shared" si="20"/>
        <v>47.5</v>
      </c>
      <c r="AX29" s="267">
        <f t="shared" si="21"/>
        <v>6</v>
      </c>
      <c r="AY29" s="268">
        <f t="shared" si="22"/>
        <v>45.78</v>
      </c>
      <c r="AZ29" s="267">
        <f>IF(AND(SUM($AQ$16:AQ28)&gt;0,SUM($AZ$16:AZ28)&lt;$P$62,$W29&gt;=$P$65),$P$64,0)</f>
        <v>10.6875</v>
      </c>
      <c r="BA29" s="156">
        <f>IF(SUM($AQ$17:$AQ28)&gt;0,($P$62-SUM($AZ$17:$AZ28))*$F$65,0)</f>
        <v>2.2443749999999998</v>
      </c>
      <c r="BB29" s="157">
        <f t="shared" si="23"/>
        <v>221.38220021536435</v>
      </c>
      <c r="BC29" s="153">
        <f t="shared" si="24"/>
        <v>-221.38220021536435</v>
      </c>
      <c r="BD29" s="154">
        <f t="shared" si="25"/>
        <v>-142.44468998401899</v>
      </c>
      <c r="BE29" s="48"/>
      <c r="BF29" s="46">
        <f t="shared" si="42"/>
        <v>0.64343334669836327</v>
      </c>
      <c r="BH29" s="152">
        <f t="shared" si="26"/>
        <v>0</v>
      </c>
      <c r="BI29" s="152">
        <f t="shared" si="27"/>
        <v>79.735929162231571</v>
      </c>
      <c r="BJ29" s="153">
        <f t="shared" si="28"/>
        <v>42.366271053132792</v>
      </c>
      <c r="BK29" s="153">
        <f t="shared" si="29"/>
        <v>47.5</v>
      </c>
      <c r="BL29" s="153">
        <f t="shared" si="30"/>
        <v>45.78</v>
      </c>
      <c r="BM29" s="153">
        <f t="shared" si="31"/>
        <v>0</v>
      </c>
      <c r="BN29" s="154">
        <f t="shared" si="32"/>
        <v>215.38220021536435</v>
      </c>
      <c r="BO29" s="153">
        <f t="shared" si="33"/>
        <v>0</v>
      </c>
      <c r="BP29" s="153">
        <f t="shared" si="34"/>
        <v>47.5</v>
      </c>
      <c r="BQ29" s="153">
        <f t="shared" si="35"/>
        <v>30.523176408044389</v>
      </c>
      <c r="BR29" s="153">
        <f t="shared" si="36"/>
        <v>12</v>
      </c>
      <c r="BS29" s="220">
        <f t="shared" si="37"/>
        <v>0</v>
      </c>
      <c r="BT29" s="153">
        <f t="array" ref="BT29">IF($W29&lt;=$O$16,_xlfn.IFS(W29&lt;$F$16,$P$92,W29=$F$16,$P$93,W29&gt;$F$16,$P$94),0)</f>
        <v>33.78</v>
      </c>
      <c r="BU29" s="154">
        <f t="shared" si="38"/>
        <v>93.28</v>
      </c>
      <c r="BV29" s="154">
        <f t="shared" si="39"/>
        <v>122.10220021536435</v>
      </c>
      <c r="BW29" s="150"/>
      <c r="BX29" s="155">
        <f t="shared" si="40"/>
        <v>80.993357085129091</v>
      </c>
      <c r="BY29" s="273">
        <f t="shared" si="43"/>
        <v>0</v>
      </c>
      <c r="CA29"/>
    </row>
    <row r="30" spans="1:79" ht="15.75" customHeight="1">
      <c r="C30" s="2" t="s">
        <v>107</v>
      </c>
      <c r="D30" t="s">
        <v>7</v>
      </c>
      <c r="F30" s="195">
        <f>事業費用概算!G7</f>
        <v>3000</v>
      </c>
      <c r="M30" s="55" t="s">
        <v>108</v>
      </c>
      <c r="N30" s="19" t="s">
        <v>7</v>
      </c>
      <c r="O30" s="50">
        <f>O29*E32</f>
        <v>2850</v>
      </c>
      <c r="P30" s="50">
        <f>$P$29*F32</f>
        <v>1425</v>
      </c>
      <c r="V30" s="57">
        <f t="shared" si="41"/>
        <v>50495</v>
      </c>
      <c r="W30" s="7">
        <v>14</v>
      </c>
      <c r="X30" s="269" t="str">
        <f t="shared" si="0"/>
        <v>維持管理・運営期間</v>
      </c>
      <c r="Y30" s="158">
        <f t="shared" si="1"/>
        <v>0</v>
      </c>
      <c r="Z30" s="156">
        <f t="shared" si="2"/>
        <v>0</v>
      </c>
      <c r="AA30" s="156">
        <f t="shared" si="3"/>
        <v>0</v>
      </c>
      <c r="AB30" s="156">
        <f t="shared" si="4"/>
        <v>0</v>
      </c>
      <c r="AC30" s="157">
        <f t="shared" si="5"/>
        <v>0</v>
      </c>
      <c r="AD30" s="158">
        <f t="shared" si="6"/>
        <v>0</v>
      </c>
      <c r="AE30" s="156">
        <f t="shared" si="7"/>
        <v>50</v>
      </c>
      <c r="AF30" s="156">
        <f t="shared" si="8"/>
        <v>10</v>
      </c>
      <c r="AG30" s="222">
        <f>IF(AND(SUM($AA$16:AA29)&gt;0,SUM($AG$16:AG29)&lt;$O$62,$W30&gt;=$O$65),$O$64,0)</f>
        <v>64.125</v>
      </c>
      <c r="AH30" s="220">
        <f>IF(SUM($AA$17:$AA29)&gt;0,($O$62-SUM($AG$17:$AG29))*$E$65,0)</f>
        <v>12.504375</v>
      </c>
      <c r="AI30" s="157">
        <f t="shared" si="9"/>
        <v>60</v>
      </c>
      <c r="AJ30" s="153">
        <f t="shared" si="10"/>
        <v>-60</v>
      </c>
      <c r="AK30" s="155">
        <f>(SUM($P$31,$P$51)-SUM($AU$17:AU29))*$O$109</f>
        <v>14.396004477031832</v>
      </c>
      <c r="AL30" s="160"/>
      <c r="AM30" s="154">
        <f t="shared" si="11"/>
        <v>-37.318512133302846</v>
      </c>
      <c r="AN30" s="161"/>
      <c r="AO30" s="152">
        <f t="shared" si="12"/>
        <v>0</v>
      </c>
      <c r="AP30" s="153">
        <f t="shared" si="13"/>
        <v>0</v>
      </c>
      <c r="AQ30" s="153">
        <f t="shared" si="14"/>
        <v>0</v>
      </c>
      <c r="AR30" s="156">
        <f t="shared" si="15"/>
        <v>0</v>
      </c>
      <c r="AS30" s="157">
        <f t="shared" si="16"/>
        <v>0</v>
      </c>
      <c r="AT30" s="156">
        <f t="shared" si="17"/>
        <v>0</v>
      </c>
      <c r="AU30" s="156">
        <f t="shared" si="18"/>
        <v>82.885498364139707</v>
      </c>
      <c r="AV30" s="156">
        <f t="shared" si="19"/>
        <v>39.216701851224641</v>
      </c>
      <c r="AW30" s="156">
        <f t="shared" si="20"/>
        <v>47.5</v>
      </c>
      <c r="AX30" s="267">
        <f t="shared" si="21"/>
        <v>6</v>
      </c>
      <c r="AY30" s="268">
        <f t="shared" si="22"/>
        <v>45.78</v>
      </c>
      <c r="AZ30" s="267">
        <f>IF(AND(SUM($AQ$16:AQ29)&gt;0,SUM($AZ$16:AZ29)&lt;$P$62,$W30&gt;=$P$65),$P$64,0)</f>
        <v>10.6875</v>
      </c>
      <c r="BA30" s="156">
        <f>IF(SUM($AQ$17:$AQ29)&gt;0,($P$62-SUM($AZ$17:$AZ29))*$F$65,0)</f>
        <v>2.0840624999999999</v>
      </c>
      <c r="BB30" s="157">
        <f t="shared" si="23"/>
        <v>221.38220021536435</v>
      </c>
      <c r="BC30" s="153">
        <f t="shared" si="24"/>
        <v>-221.38220021536435</v>
      </c>
      <c r="BD30" s="154">
        <f t="shared" si="25"/>
        <v>-137.69423874723924</v>
      </c>
      <c r="BE30" s="48"/>
      <c r="BF30" s="46">
        <f t="shared" si="42"/>
        <v>0.6219752022217141</v>
      </c>
      <c r="BH30" s="152">
        <f t="shared" si="26"/>
        <v>0</v>
      </c>
      <c r="BI30" s="152">
        <f t="shared" si="27"/>
        <v>82.885498364139707</v>
      </c>
      <c r="BJ30" s="153">
        <f t="shared" si="28"/>
        <v>39.216701851224641</v>
      </c>
      <c r="BK30" s="153">
        <f t="shared" si="29"/>
        <v>47.5</v>
      </c>
      <c r="BL30" s="153">
        <f t="shared" si="30"/>
        <v>45.78</v>
      </c>
      <c r="BM30" s="153">
        <f t="shared" si="31"/>
        <v>0</v>
      </c>
      <c r="BN30" s="154">
        <f t="shared" si="32"/>
        <v>215.38220021536435</v>
      </c>
      <c r="BO30" s="153">
        <f t="shared" si="33"/>
        <v>0</v>
      </c>
      <c r="BP30" s="153">
        <f t="shared" si="34"/>
        <v>47.5</v>
      </c>
      <c r="BQ30" s="153">
        <f t="shared" si="35"/>
        <v>28.133872374033086</v>
      </c>
      <c r="BR30" s="153">
        <f t="shared" si="36"/>
        <v>12</v>
      </c>
      <c r="BS30" s="220">
        <f t="shared" si="37"/>
        <v>0</v>
      </c>
      <c r="BT30" s="153">
        <f t="array" ref="BT30">IF($W30&lt;=$O$16,_xlfn.IFS(W30&lt;$F$16,$P$92,W30=$F$16,$P$93,W30&gt;$F$16,$P$94),0)</f>
        <v>33.78</v>
      </c>
      <c r="BU30" s="154">
        <f t="shared" si="38"/>
        <v>93.28</v>
      </c>
      <c r="BV30" s="154">
        <f t="shared" si="39"/>
        <v>122.10220021536435</v>
      </c>
      <c r="BW30" s="150"/>
      <c r="BX30" s="155">
        <f t="shared" si="40"/>
        <v>83.382661119140394</v>
      </c>
      <c r="BY30" s="273">
        <f t="shared" si="43"/>
        <v>0</v>
      </c>
      <c r="CA30"/>
    </row>
    <row r="31" spans="1:79" ht="15.75" customHeight="1">
      <c r="C31" t="s">
        <v>109</v>
      </c>
      <c r="E31" s="19" t="s">
        <v>2</v>
      </c>
      <c r="F31" s="19" t="s">
        <v>50</v>
      </c>
      <c r="M31" s="55" t="s">
        <v>110</v>
      </c>
      <c r="N31" s="19" t="s">
        <v>7</v>
      </c>
      <c r="O31" s="50">
        <f>O30*E33</f>
        <v>0</v>
      </c>
      <c r="P31" s="50">
        <f>$P$29*F33</f>
        <v>1425</v>
      </c>
      <c r="V31" s="57">
        <f t="shared" si="41"/>
        <v>50860</v>
      </c>
      <c r="W31" s="7">
        <v>15</v>
      </c>
      <c r="X31" s="269" t="str">
        <f t="shared" si="0"/>
        <v>維持管理・運営期間</v>
      </c>
      <c r="Y31" s="158">
        <f t="shared" si="1"/>
        <v>0</v>
      </c>
      <c r="Z31" s="156">
        <f t="shared" si="2"/>
        <v>0</v>
      </c>
      <c r="AA31" s="156">
        <f t="shared" si="3"/>
        <v>0</v>
      </c>
      <c r="AB31" s="156">
        <f t="shared" si="4"/>
        <v>0</v>
      </c>
      <c r="AC31" s="157">
        <f t="shared" si="5"/>
        <v>0</v>
      </c>
      <c r="AD31" s="158">
        <f t="shared" si="6"/>
        <v>0</v>
      </c>
      <c r="AE31" s="156">
        <f t="shared" si="7"/>
        <v>50</v>
      </c>
      <c r="AF31" s="156">
        <f t="shared" si="8"/>
        <v>10</v>
      </c>
      <c r="AG31" s="222">
        <f>IF(AND(SUM($AA$16:AA30)&gt;0,SUM($AG$16:AG30)&lt;$O$62,$W31&gt;=$O$65),$O$64,0)</f>
        <v>64.125</v>
      </c>
      <c r="AH31" s="220">
        <f>IF(SUM($AA$17:$AA30)&gt;0,($O$62-SUM($AG$17:$AG30))*$E$65,0)</f>
        <v>11.5425</v>
      </c>
      <c r="AI31" s="157">
        <f t="shared" si="9"/>
        <v>60</v>
      </c>
      <c r="AJ31" s="153">
        <f t="shared" si="10"/>
        <v>-60</v>
      </c>
      <c r="AK31" s="155">
        <f>(SUM($P$31,$P$51)-SUM($AU$17:AU30))*$O$109</f>
        <v>13.194164750751806</v>
      </c>
      <c r="AL31" s="160"/>
      <c r="AM31" s="154">
        <f t="shared" si="11"/>
        <v>-36.073960496184483</v>
      </c>
      <c r="AN31" s="161"/>
      <c r="AO31" s="152">
        <f t="shared" si="12"/>
        <v>0</v>
      </c>
      <c r="AP31" s="153">
        <f t="shared" si="13"/>
        <v>0</v>
      </c>
      <c r="AQ31" s="153">
        <f t="shared" si="14"/>
        <v>0</v>
      </c>
      <c r="AR31" s="156">
        <f t="shared" si="15"/>
        <v>0</v>
      </c>
      <c r="AS31" s="157">
        <f t="shared" si="16"/>
        <v>0</v>
      </c>
      <c r="AT31" s="156">
        <f t="shared" si="17"/>
        <v>0</v>
      </c>
      <c r="AU31" s="156">
        <f t="shared" si="18"/>
        <v>86.159475549523236</v>
      </c>
      <c r="AV31" s="156">
        <f t="shared" si="19"/>
        <v>35.942724665841126</v>
      </c>
      <c r="AW31" s="156">
        <f t="shared" si="20"/>
        <v>47.5</v>
      </c>
      <c r="AX31" s="267">
        <f t="shared" si="21"/>
        <v>6</v>
      </c>
      <c r="AY31" s="268">
        <f t="shared" si="22"/>
        <v>45.78</v>
      </c>
      <c r="AZ31" s="267">
        <f>IF(AND(SUM($AQ$16:AQ30)&gt;0,SUM($AZ$16:AZ30)&lt;$P$62,$W31&gt;=$P$65),$P$64,0)</f>
        <v>10.6875</v>
      </c>
      <c r="BA31" s="156">
        <f>IF(SUM($AQ$17:$AQ30)&gt;0,($P$62-SUM($AZ$17:$AZ30))*$F$65,0)</f>
        <v>1.9237499999999998</v>
      </c>
      <c r="BB31" s="157">
        <f t="shared" si="23"/>
        <v>221.38220021536435</v>
      </c>
      <c r="BC31" s="153">
        <f t="shared" si="24"/>
        <v>-221.38220021536435</v>
      </c>
      <c r="BD31" s="154">
        <f t="shared" si="25"/>
        <v>-133.10221241879097</v>
      </c>
      <c r="BE31" s="48"/>
      <c r="BF31" s="46">
        <f t="shared" si="42"/>
        <v>0.60123267493640808</v>
      </c>
      <c r="BH31" s="152">
        <f t="shared" si="26"/>
        <v>0</v>
      </c>
      <c r="BI31" s="152">
        <f t="shared" si="27"/>
        <v>86.159475549523236</v>
      </c>
      <c r="BJ31" s="153">
        <f t="shared" si="28"/>
        <v>35.942724665841126</v>
      </c>
      <c r="BK31" s="153">
        <f t="shared" si="29"/>
        <v>47.5</v>
      </c>
      <c r="BL31" s="153">
        <f t="shared" si="30"/>
        <v>45.78</v>
      </c>
      <c r="BM31" s="153">
        <f t="shared" si="31"/>
        <v>0</v>
      </c>
      <c r="BN31" s="154">
        <f t="shared" si="32"/>
        <v>215.38220021536435</v>
      </c>
      <c r="BO31" s="153">
        <f t="shared" si="33"/>
        <v>0</v>
      </c>
      <c r="BP31" s="153">
        <f t="shared" si="34"/>
        <v>47.5</v>
      </c>
      <c r="BQ31" s="153">
        <f t="shared" si="35"/>
        <v>25.674083871018443</v>
      </c>
      <c r="BR31" s="153">
        <f t="shared" si="36"/>
        <v>12</v>
      </c>
      <c r="BS31" s="220">
        <f t="shared" si="37"/>
        <v>0</v>
      </c>
      <c r="BT31" s="153">
        <f t="array" ref="BT31">IF($W31&lt;=$O$16,_xlfn.IFS(W31&lt;$F$16,$P$92,W31=$F$16,$P$93,W31&gt;$F$16,$P$94),0)</f>
        <v>33.78</v>
      </c>
      <c r="BU31" s="154">
        <f t="shared" si="38"/>
        <v>93.28</v>
      </c>
      <c r="BV31" s="154">
        <f t="shared" si="39"/>
        <v>122.10220021536435</v>
      </c>
      <c r="BW31" s="150"/>
      <c r="BX31" s="155">
        <f t="shared" si="40"/>
        <v>85.842449622155044</v>
      </c>
      <c r="BY31" s="273">
        <f t="shared" si="43"/>
        <v>0</v>
      </c>
      <c r="CA31"/>
    </row>
    <row r="32" spans="1:79" ht="15.75" customHeight="1">
      <c r="C32" s="2" t="s">
        <v>108</v>
      </c>
      <c r="D32" t="s">
        <v>38</v>
      </c>
      <c r="E32" s="258">
        <v>1</v>
      </c>
      <c r="F32" s="3">
        <v>0.5</v>
      </c>
      <c r="M32" s="55" t="s">
        <v>112</v>
      </c>
      <c r="N32" s="19" t="s">
        <v>7</v>
      </c>
      <c r="O32" s="50">
        <f>SUM(O30:O31)</f>
        <v>2850</v>
      </c>
      <c r="P32" s="50">
        <f>SUM(P30:P31)</f>
        <v>2850</v>
      </c>
      <c r="V32" s="57">
        <f t="shared" si="41"/>
        <v>51226</v>
      </c>
      <c r="W32" s="7">
        <v>16</v>
      </c>
      <c r="X32" s="269" t="str">
        <f t="shared" si="0"/>
        <v>維持管理・運営期間</v>
      </c>
      <c r="Y32" s="158">
        <f t="shared" si="1"/>
        <v>0</v>
      </c>
      <c r="Z32" s="156">
        <f t="shared" si="2"/>
        <v>0</v>
      </c>
      <c r="AA32" s="156">
        <f t="shared" si="3"/>
        <v>0</v>
      </c>
      <c r="AB32" s="156">
        <f t="shared" si="4"/>
        <v>0</v>
      </c>
      <c r="AC32" s="157">
        <f t="shared" si="5"/>
        <v>0</v>
      </c>
      <c r="AD32" s="158">
        <f t="shared" si="6"/>
        <v>0</v>
      </c>
      <c r="AE32" s="156">
        <f t="shared" si="7"/>
        <v>50</v>
      </c>
      <c r="AF32" s="156">
        <f t="shared" si="8"/>
        <v>10</v>
      </c>
      <c r="AG32" s="222">
        <f>IF(AND(SUM($AA$16:AA31)&gt;0,SUM($AG$16:AG31)&lt;$O$62,$W32&gt;=$O$65),$O$64,0)</f>
        <v>64.125</v>
      </c>
      <c r="AH32" s="220">
        <f>IF(SUM($AA$17:$AA31)&gt;0,($O$62-SUM($AG$17:$AG31))*$E$65,0)</f>
        <v>10.580625</v>
      </c>
      <c r="AI32" s="157">
        <f t="shared" si="9"/>
        <v>60</v>
      </c>
      <c r="AJ32" s="153">
        <f t="shared" si="10"/>
        <v>-60</v>
      </c>
      <c r="AK32" s="155">
        <f>(SUM($P$31,$P$51)-SUM($AU$17:AU31))*$O$109</f>
        <v>11.94485235528372</v>
      </c>
      <c r="AL32" s="160"/>
      <c r="AM32" s="154">
        <f t="shared" si="11"/>
        <v>-34.87091396441226</v>
      </c>
      <c r="AN32" s="161"/>
      <c r="AO32" s="152">
        <f t="shared" si="12"/>
        <v>0</v>
      </c>
      <c r="AP32" s="153">
        <f t="shared" si="13"/>
        <v>0</v>
      </c>
      <c r="AQ32" s="153">
        <f t="shared" si="14"/>
        <v>0</v>
      </c>
      <c r="AR32" s="156">
        <f t="shared" si="15"/>
        <v>0</v>
      </c>
      <c r="AS32" s="157">
        <f t="shared" si="16"/>
        <v>0</v>
      </c>
      <c r="AT32" s="156">
        <f t="shared" si="17"/>
        <v>0</v>
      </c>
      <c r="AU32" s="156">
        <f t="shared" si="18"/>
        <v>89.562774833729392</v>
      </c>
      <c r="AV32" s="156">
        <f t="shared" si="19"/>
        <v>32.539425381634963</v>
      </c>
      <c r="AW32" s="156">
        <f t="shared" si="20"/>
        <v>47.5</v>
      </c>
      <c r="AX32" s="267">
        <f t="shared" si="21"/>
        <v>6</v>
      </c>
      <c r="AY32" s="268">
        <f t="shared" si="22"/>
        <v>45.78</v>
      </c>
      <c r="AZ32" s="267">
        <f>IF(AND(SUM($AQ$16:AQ31)&gt;0,SUM($AZ$16:AZ31)&lt;$P$62,$W32&gt;=$P$65),$P$64,0)</f>
        <v>10.6875</v>
      </c>
      <c r="BA32" s="156">
        <f>IF(SUM($AQ$17:$AQ31)&gt;0,($P$62-SUM($AZ$17:$AZ31))*$F$65,0)</f>
        <v>1.7634375</v>
      </c>
      <c r="BB32" s="157">
        <f t="shared" si="23"/>
        <v>221.38220021536435</v>
      </c>
      <c r="BC32" s="153">
        <f t="shared" si="24"/>
        <v>-221.38220021536435</v>
      </c>
      <c r="BD32" s="154">
        <f t="shared" si="25"/>
        <v>-128.66332761603766</v>
      </c>
      <c r="BE32" s="48"/>
      <c r="BF32" s="46">
        <f t="shared" si="42"/>
        <v>0.58118189940687104</v>
      </c>
      <c r="BH32" s="152">
        <f t="shared" si="26"/>
        <v>0</v>
      </c>
      <c r="BI32" s="152">
        <f t="shared" si="27"/>
        <v>89.562774833729392</v>
      </c>
      <c r="BJ32" s="153">
        <f t="shared" si="28"/>
        <v>32.539425381634963</v>
      </c>
      <c r="BK32" s="153">
        <f t="shared" si="29"/>
        <v>47.5</v>
      </c>
      <c r="BL32" s="153">
        <f t="shared" si="30"/>
        <v>45.78</v>
      </c>
      <c r="BM32" s="153">
        <f t="shared" si="31"/>
        <v>0</v>
      </c>
      <c r="BN32" s="154">
        <f t="shared" si="32"/>
        <v>215.38220021536435</v>
      </c>
      <c r="BO32" s="153">
        <f t="shared" si="33"/>
        <v>0</v>
      </c>
      <c r="BP32" s="153">
        <f t="shared" si="34"/>
        <v>47.5</v>
      </c>
      <c r="BQ32" s="153">
        <f t="shared" si="35"/>
        <v>23.141731607164864</v>
      </c>
      <c r="BR32" s="153">
        <f t="shared" si="36"/>
        <v>12</v>
      </c>
      <c r="BS32" s="220">
        <f t="shared" si="37"/>
        <v>0</v>
      </c>
      <c r="BT32" s="153">
        <f t="array" ref="BT32">IF($W32&lt;=$O$16,_xlfn.IFS(W32&lt;$F$16,$P$92,W32=$F$16,$P$93,W32&gt;$F$16,$P$94),0)</f>
        <v>33.78</v>
      </c>
      <c r="BU32" s="154">
        <f t="shared" si="38"/>
        <v>93.28</v>
      </c>
      <c r="BV32" s="154">
        <f t="shared" si="39"/>
        <v>122.10220021536435</v>
      </c>
      <c r="BW32" s="150"/>
      <c r="BX32" s="155">
        <f t="shared" si="40"/>
        <v>88.374801886008626</v>
      </c>
      <c r="BY32" s="273">
        <f t="shared" si="43"/>
        <v>0</v>
      </c>
      <c r="CA32"/>
    </row>
    <row r="33" spans="2:79" ht="15.75" customHeight="1">
      <c r="C33" s="2" t="s">
        <v>110</v>
      </c>
      <c r="D33" t="s">
        <v>38</v>
      </c>
      <c r="E33" s="136"/>
      <c r="F33" s="3">
        <v>0.5</v>
      </c>
      <c r="V33" s="57">
        <f t="shared" si="41"/>
        <v>51591</v>
      </c>
      <c r="W33" s="7">
        <v>17</v>
      </c>
      <c r="X33" s="269" t="str">
        <f t="shared" si="0"/>
        <v>維持管理・運営期間</v>
      </c>
      <c r="Y33" s="158">
        <f t="shared" si="1"/>
        <v>0</v>
      </c>
      <c r="Z33" s="156">
        <f t="shared" si="2"/>
        <v>0</v>
      </c>
      <c r="AA33" s="156">
        <f t="shared" si="3"/>
        <v>0</v>
      </c>
      <c r="AB33" s="156">
        <f t="shared" si="4"/>
        <v>0</v>
      </c>
      <c r="AC33" s="157">
        <f t="shared" si="5"/>
        <v>0</v>
      </c>
      <c r="AD33" s="158">
        <f t="shared" si="6"/>
        <v>0</v>
      </c>
      <c r="AE33" s="156">
        <f t="shared" si="7"/>
        <v>50</v>
      </c>
      <c r="AF33" s="156">
        <f t="shared" si="8"/>
        <v>10</v>
      </c>
      <c r="AG33" s="222">
        <f>IF(AND(SUM($AA$16:AA32)&gt;0,SUM($AG$16:AG32)&lt;$O$62,$W33&gt;=$O$65),$O$64,0)</f>
        <v>64.125</v>
      </c>
      <c r="AH33" s="220">
        <f>IF(SUM($AA$17:$AA32)&gt;0,($O$62-SUM($AG$17:$AG32))*$E$65,0)</f>
        <v>9.6187500000000004</v>
      </c>
      <c r="AI33" s="157">
        <f t="shared" si="9"/>
        <v>60</v>
      </c>
      <c r="AJ33" s="153">
        <f t="shared" si="10"/>
        <v>-60</v>
      </c>
      <c r="AK33" s="155">
        <f>(SUM($P$31,$P$51)-SUM($AU$17:AU32))*$O$109</f>
        <v>10.646192120194645</v>
      </c>
      <c r="AL33" s="160"/>
      <c r="AM33" s="154">
        <f t="shared" si="11"/>
        <v>-33.707988365792424</v>
      </c>
      <c r="AN33" s="161"/>
      <c r="AO33" s="152">
        <f t="shared" si="12"/>
        <v>0</v>
      </c>
      <c r="AP33" s="153">
        <f t="shared" si="13"/>
        <v>0</v>
      </c>
      <c r="AQ33" s="153">
        <f t="shared" si="14"/>
        <v>0</v>
      </c>
      <c r="AR33" s="156">
        <f t="shared" si="15"/>
        <v>0</v>
      </c>
      <c r="AS33" s="157">
        <f t="shared" si="16"/>
        <v>0</v>
      </c>
      <c r="AT33" s="156">
        <f t="shared" si="17"/>
        <v>0</v>
      </c>
      <c r="AU33" s="156">
        <f t="shared" si="18"/>
        <v>93.100504439661705</v>
      </c>
      <c r="AV33" s="156">
        <f t="shared" si="19"/>
        <v>29.001695775702643</v>
      </c>
      <c r="AW33" s="156">
        <f t="shared" si="20"/>
        <v>47.5</v>
      </c>
      <c r="AX33" s="267">
        <f t="shared" si="21"/>
        <v>6</v>
      </c>
      <c r="AY33" s="268">
        <f t="shared" si="22"/>
        <v>45.78</v>
      </c>
      <c r="AZ33" s="267">
        <f>IF(AND(SUM($AQ$16:AQ32)&gt;0,SUM($AZ$16:AZ32)&lt;$P$62,$W33&gt;=$P$65),$P$64,0)</f>
        <v>10.6875</v>
      </c>
      <c r="BA33" s="156">
        <f>IF(SUM($AQ$17:$AQ32)&gt;0,($P$62-SUM($AZ$17:$AZ32))*$F$65,0)</f>
        <v>1.6031249999999999</v>
      </c>
      <c r="BB33" s="157">
        <f t="shared" si="23"/>
        <v>221.38220021536435</v>
      </c>
      <c r="BC33" s="153">
        <f t="shared" si="24"/>
        <v>-221.38220021536435</v>
      </c>
      <c r="BD33" s="154">
        <f t="shared" si="25"/>
        <v>-124.37247715421719</v>
      </c>
      <c r="BE33" s="48"/>
      <c r="BF33" s="46">
        <f t="shared" si="42"/>
        <v>0.56179980609654045</v>
      </c>
      <c r="BH33" s="152">
        <f t="shared" si="26"/>
        <v>0</v>
      </c>
      <c r="BI33" s="152">
        <f t="shared" si="27"/>
        <v>93.100504439661705</v>
      </c>
      <c r="BJ33" s="153">
        <f t="shared" si="28"/>
        <v>29.001695775702643</v>
      </c>
      <c r="BK33" s="153">
        <f t="shared" si="29"/>
        <v>47.5</v>
      </c>
      <c r="BL33" s="153">
        <f t="shared" si="30"/>
        <v>45.78</v>
      </c>
      <c r="BM33" s="153">
        <f t="shared" si="31"/>
        <v>0</v>
      </c>
      <c r="BN33" s="154">
        <f t="shared" si="32"/>
        <v>215.38220021536435</v>
      </c>
      <c r="BO33" s="153">
        <f t="shared" si="33"/>
        <v>0</v>
      </c>
      <c r="BP33" s="153">
        <f t="shared" si="34"/>
        <v>47.5</v>
      </c>
      <c r="BQ33" s="153">
        <f t="shared" si="35"/>
        <v>20.534674951527613</v>
      </c>
      <c r="BR33" s="153">
        <f t="shared" si="36"/>
        <v>12</v>
      </c>
      <c r="BS33" s="220">
        <f t="shared" si="37"/>
        <v>0</v>
      </c>
      <c r="BT33" s="153">
        <f t="array" ref="BT33">IF($W33&lt;=$O$16,_xlfn.IFS(W33&lt;$F$16,$P$92,W33=$F$16,$P$93,W33&gt;$F$16,$P$94),0)</f>
        <v>33.78</v>
      </c>
      <c r="BU33" s="154">
        <f t="shared" si="38"/>
        <v>93.28</v>
      </c>
      <c r="BV33" s="154">
        <f t="shared" si="39"/>
        <v>122.10220021536435</v>
      </c>
      <c r="BW33" s="150"/>
      <c r="BX33" s="155">
        <f t="shared" si="40"/>
        <v>90.981858541645863</v>
      </c>
      <c r="BY33" s="273">
        <f t="shared" si="43"/>
        <v>0</v>
      </c>
      <c r="CA33"/>
    </row>
    <row r="34" spans="2:79" ht="15.75" customHeight="1">
      <c r="E34" s="13">
        <f>SUM(E32:E33)</f>
        <v>1</v>
      </c>
      <c r="F34" s="13">
        <f>SUM(F32:F33)</f>
        <v>1</v>
      </c>
      <c r="V34" s="57">
        <f t="shared" si="41"/>
        <v>51956</v>
      </c>
      <c r="W34" s="7">
        <v>18</v>
      </c>
      <c r="X34" s="269" t="str">
        <f t="shared" si="0"/>
        <v>維持管理・運営期間</v>
      </c>
      <c r="Y34" s="158">
        <f t="shared" si="1"/>
        <v>0</v>
      </c>
      <c r="Z34" s="156">
        <f t="shared" si="2"/>
        <v>0</v>
      </c>
      <c r="AA34" s="156">
        <f t="shared" si="3"/>
        <v>0</v>
      </c>
      <c r="AB34" s="156">
        <f t="shared" si="4"/>
        <v>0</v>
      </c>
      <c r="AC34" s="157">
        <f t="shared" si="5"/>
        <v>0</v>
      </c>
      <c r="AD34" s="158">
        <f t="shared" si="6"/>
        <v>0</v>
      </c>
      <c r="AE34" s="156">
        <f t="shared" si="7"/>
        <v>50</v>
      </c>
      <c r="AF34" s="156">
        <f t="shared" si="8"/>
        <v>10</v>
      </c>
      <c r="AG34" s="222">
        <f>IF(AND(SUM($AA$16:AA33)&gt;0,SUM($AG$16:AG33)&lt;$O$62,$W34&gt;=$O$65),$O$64,0)</f>
        <v>64.125</v>
      </c>
      <c r="AH34" s="220">
        <f>IF(SUM($AA$17:$AA33)&gt;0,($O$62-SUM($AG$17:$AG33))*$E$65,0)</f>
        <v>8.6568749999999994</v>
      </c>
      <c r="AI34" s="157">
        <f t="shared" si="9"/>
        <v>60</v>
      </c>
      <c r="AJ34" s="153">
        <f t="shared" si="10"/>
        <v>-60</v>
      </c>
      <c r="AK34" s="155">
        <f>(SUM($P$31,$P$51)-SUM($AU$17:AU33))*$O$109</f>
        <v>9.2962348058195499</v>
      </c>
      <c r="AL34" s="160"/>
      <c r="AM34" s="154">
        <f t="shared" si="11"/>
        <v>-32.583845689504521</v>
      </c>
      <c r="AN34" s="161"/>
      <c r="AO34" s="152">
        <f t="shared" si="12"/>
        <v>0</v>
      </c>
      <c r="AP34" s="153">
        <f t="shared" si="13"/>
        <v>0</v>
      </c>
      <c r="AQ34" s="153">
        <f t="shared" si="14"/>
        <v>0</v>
      </c>
      <c r="AR34" s="156">
        <f t="shared" si="15"/>
        <v>0</v>
      </c>
      <c r="AS34" s="157">
        <f t="shared" si="16"/>
        <v>0</v>
      </c>
      <c r="AT34" s="156">
        <f t="shared" si="17"/>
        <v>0</v>
      </c>
      <c r="AU34" s="156">
        <f t="shared" si="18"/>
        <v>96.777974365028342</v>
      </c>
      <c r="AV34" s="156">
        <f t="shared" si="19"/>
        <v>25.324225850336013</v>
      </c>
      <c r="AW34" s="156">
        <f t="shared" si="20"/>
        <v>47.5</v>
      </c>
      <c r="AX34" s="267">
        <f t="shared" si="21"/>
        <v>6</v>
      </c>
      <c r="AY34" s="268">
        <f t="shared" si="22"/>
        <v>45.78</v>
      </c>
      <c r="AZ34" s="267">
        <f>IF(AND(SUM($AQ$16:AQ33)&gt;0,SUM($AZ$16:AZ33)&lt;$P$62,$W34&gt;=$P$65),$P$64,0)</f>
        <v>10.6875</v>
      </c>
      <c r="BA34" s="156">
        <f>IF(SUM($AQ$17:$AQ33)&gt;0,($P$62-SUM($AZ$17:$AZ33))*$F$65,0)</f>
        <v>1.4428125000000001</v>
      </c>
      <c r="BB34" s="157">
        <f t="shared" si="23"/>
        <v>221.38220021536435</v>
      </c>
      <c r="BC34" s="153">
        <f t="shared" si="24"/>
        <v>-221.38220021536435</v>
      </c>
      <c r="BD34" s="154">
        <f t="shared" si="25"/>
        <v>-120.22472417034044</v>
      </c>
      <c r="BE34" s="48"/>
      <c r="BF34" s="46">
        <f t="shared" si="42"/>
        <v>0.54306409482507534</v>
      </c>
      <c r="BH34" s="152">
        <f t="shared" si="26"/>
        <v>0</v>
      </c>
      <c r="BI34" s="152">
        <f t="shared" si="27"/>
        <v>96.777974365028342</v>
      </c>
      <c r="BJ34" s="153">
        <f t="shared" si="28"/>
        <v>25.324225850336013</v>
      </c>
      <c r="BK34" s="153">
        <f t="shared" si="29"/>
        <v>47.5</v>
      </c>
      <c r="BL34" s="153">
        <f t="shared" si="30"/>
        <v>45.78</v>
      </c>
      <c r="BM34" s="153">
        <f t="shared" si="31"/>
        <v>0</v>
      </c>
      <c r="BN34" s="154">
        <f t="shared" si="32"/>
        <v>215.38220021536435</v>
      </c>
      <c r="BO34" s="153">
        <f t="shared" si="33"/>
        <v>0</v>
      </c>
      <c r="BP34" s="153">
        <f t="shared" si="34"/>
        <v>47.5</v>
      </c>
      <c r="BQ34" s="153">
        <f t="shared" si="35"/>
        <v>17.850710124549064</v>
      </c>
      <c r="BR34" s="153">
        <f t="shared" si="36"/>
        <v>12</v>
      </c>
      <c r="BS34" s="220">
        <f t="shared" si="37"/>
        <v>0</v>
      </c>
      <c r="BT34" s="153">
        <f t="array" ref="BT34">IF($W34&lt;=$O$16,_xlfn.IFS(W34&lt;$F$16,$P$92,W34=$F$16,$P$93,W34&gt;$F$16,$P$94),0)</f>
        <v>33.78</v>
      </c>
      <c r="BU34" s="154">
        <f t="shared" si="38"/>
        <v>93.28</v>
      </c>
      <c r="BV34" s="154">
        <f t="shared" si="39"/>
        <v>122.10220021536435</v>
      </c>
      <c r="BW34" s="150"/>
      <c r="BX34" s="155">
        <f t="shared" si="40"/>
        <v>93.66582336862443</v>
      </c>
      <c r="BY34" s="273">
        <f t="shared" si="43"/>
        <v>0</v>
      </c>
      <c r="CA34"/>
    </row>
    <row r="35" spans="2:79" ht="15.75" customHeight="1">
      <c r="B35" s="55" t="s">
        <v>113</v>
      </c>
      <c r="C35" s="2" t="s">
        <v>114</v>
      </c>
      <c r="D35" t="s">
        <v>38</v>
      </c>
      <c r="F35" s="15">
        <v>1.4500000000000001E-2</v>
      </c>
      <c r="J35" s="101" t="s">
        <v>116</v>
      </c>
      <c r="P35" t="s">
        <v>50</v>
      </c>
      <c r="V35" s="57">
        <f t="shared" si="41"/>
        <v>52321</v>
      </c>
      <c r="W35" s="7">
        <v>19</v>
      </c>
      <c r="X35" s="269" t="str">
        <f t="shared" si="0"/>
        <v>維持管理・運営期間</v>
      </c>
      <c r="Y35" s="158">
        <f t="shared" si="1"/>
        <v>0</v>
      </c>
      <c r="Z35" s="156">
        <f t="shared" si="2"/>
        <v>0</v>
      </c>
      <c r="AA35" s="156">
        <f t="shared" si="3"/>
        <v>0</v>
      </c>
      <c r="AB35" s="156">
        <f t="shared" si="4"/>
        <v>0</v>
      </c>
      <c r="AC35" s="157">
        <f t="shared" si="5"/>
        <v>0</v>
      </c>
      <c r="AD35" s="158">
        <f t="shared" si="6"/>
        <v>0</v>
      </c>
      <c r="AE35" s="156">
        <f t="shared" si="7"/>
        <v>50</v>
      </c>
      <c r="AF35" s="156">
        <f t="shared" si="8"/>
        <v>10</v>
      </c>
      <c r="AG35" s="222">
        <f>IF(AND(SUM($AA$16:AA34)&gt;0,SUM($AG$16:AG34)&lt;$O$62,$W35&gt;=$O$65),$O$64,0)</f>
        <v>64.125</v>
      </c>
      <c r="AH35" s="220">
        <f>IF(SUM($AA$17:$AA34)&gt;0,($O$62-SUM($AG$17:$AG34))*$E$65,0)</f>
        <v>7.6949999999999994</v>
      </c>
      <c r="AI35" s="157">
        <f t="shared" si="9"/>
        <v>60</v>
      </c>
      <c r="AJ35" s="153">
        <f t="shared" si="10"/>
        <v>-60</v>
      </c>
      <c r="AK35" s="155">
        <f>(SUM($P$31,$P$51)-SUM($AU$17:AU34))*$O$109</f>
        <v>7.8929541775266392</v>
      </c>
      <c r="AL35" s="160"/>
      <c r="AM35" s="154">
        <f t="shared" si="11"/>
        <v>-31.497192546645262</v>
      </c>
      <c r="AN35" s="161"/>
      <c r="AO35" s="152">
        <f t="shared" si="12"/>
        <v>0</v>
      </c>
      <c r="AP35" s="153">
        <f t="shared" si="13"/>
        <v>0</v>
      </c>
      <c r="AQ35" s="153">
        <f t="shared" si="14"/>
        <v>0</v>
      </c>
      <c r="AR35" s="156">
        <f t="shared" si="15"/>
        <v>0</v>
      </c>
      <c r="AS35" s="157">
        <f t="shared" si="16"/>
        <v>0</v>
      </c>
      <c r="AT35" s="156">
        <f t="shared" si="17"/>
        <v>0</v>
      </c>
      <c r="AU35" s="156">
        <f t="shared" si="18"/>
        <v>100.60070435244697</v>
      </c>
      <c r="AV35" s="156">
        <f t="shared" si="19"/>
        <v>21.501495862917391</v>
      </c>
      <c r="AW35" s="156">
        <f t="shared" si="20"/>
        <v>47.5</v>
      </c>
      <c r="AX35" s="267">
        <f t="shared" si="21"/>
        <v>6</v>
      </c>
      <c r="AY35" s="268">
        <f t="shared" si="22"/>
        <v>45.78</v>
      </c>
      <c r="AZ35" s="267">
        <f>IF(AND(SUM($AQ$16:AQ34)&gt;0,SUM($AZ$16:AZ34)&lt;$P$62,$W35&gt;=$P$65),$P$64,0)</f>
        <v>10.6875</v>
      </c>
      <c r="BA35" s="156">
        <f>IF(SUM($AQ$17:$AQ34)&gt;0,($P$62-SUM($AZ$17:$AZ34))*$F$65,0)</f>
        <v>1.2825</v>
      </c>
      <c r="BB35" s="157">
        <f t="shared" si="23"/>
        <v>221.38220021536435</v>
      </c>
      <c r="BC35" s="153">
        <f t="shared" si="24"/>
        <v>-221.38220021536435</v>
      </c>
      <c r="BD35" s="154">
        <f t="shared" si="25"/>
        <v>-116.21529644305505</v>
      </c>
      <c r="BE35" s="48"/>
      <c r="BF35" s="46">
        <f t="shared" si="42"/>
        <v>0.52495320911075438</v>
      </c>
      <c r="BH35" s="152">
        <f t="shared" si="26"/>
        <v>0</v>
      </c>
      <c r="BI35" s="152">
        <f t="shared" si="27"/>
        <v>100.60070435244697</v>
      </c>
      <c r="BJ35" s="153">
        <f t="shared" si="28"/>
        <v>21.501495862917391</v>
      </c>
      <c r="BK35" s="153">
        <f t="shared" si="29"/>
        <v>47.5</v>
      </c>
      <c r="BL35" s="153">
        <f t="shared" si="30"/>
        <v>45.78</v>
      </c>
      <c r="BM35" s="153">
        <f t="shared" si="31"/>
        <v>0</v>
      </c>
      <c r="BN35" s="154">
        <f t="shared" si="32"/>
        <v>215.38220021536435</v>
      </c>
      <c r="BO35" s="153">
        <f t="shared" si="33"/>
        <v>0</v>
      </c>
      <c r="BP35" s="153">
        <f t="shared" si="34"/>
        <v>47.5</v>
      </c>
      <c r="BQ35" s="153">
        <f t="shared" si="35"/>
        <v>15.087568335174643</v>
      </c>
      <c r="BR35" s="153">
        <f t="shared" si="36"/>
        <v>12</v>
      </c>
      <c r="BS35" s="220">
        <f t="shared" si="37"/>
        <v>0</v>
      </c>
      <c r="BT35" s="153">
        <f t="array" ref="BT35">IF($W35&lt;=$O$16,_xlfn.IFS(W35&lt;$F$16,$P$92,W35=$F$16,$P$93,W35&gt;$F$16,$P$94),0)</f>
        <v>33.78</v>
      </c>
      <c r="BU35" s="154">
        <f t="shared" si="38"/>
        <v>93.28</v>
      </c>
      <c r="BV35" s="154">
        <f t="shared" si="39"/>
        <v>122.10220021536435</v>
      </c>
      <c r="BW35" s="150"/>
      <c r="BX35" s="155">
        <f t="shared" si="40"/>
        <v>96.428965157998846</v>
      </c>
      <c r="BY35" s="273">
        <f t="shared" si="43"/>
        <v>0</v>
      </c>
      <c r="CA35"/>
    </row>
    <row r="36" spans="2:79" ht="15.75" customHeight="1">
      <c r="C36" s="2" t="s">
        <v>117</v>
      </c>
      <c r="D36" t="s">
        <v>38</v>
      </c>
      <c r="F36" s="137">
        <f>F70</f>
        <v>1.4999999999999999E-2</v>
      </c>
      <c r="J36" s="4"/>
      <c r="K36" s="55" t="s">
        <v>118</v>
      </c>
      <c r="N36" s="19" t="s">
        <v>38</v>
      </c>
      <c r="O36" s="52"/>
      <c r="P36" s="36">
        <f>SUM(F35:F37)</f>
        <v>3.95E-2</v>
      </c>
      <c r="V36" s="57">
        <f t="shared" si="41"/>
        <v>52687</v>
      </c>
      <c r="W36" s="7">
        <v>20</v>
      </c>
      <c r="X36" s="269" t="str">
        <f t="shared" si="0"/>
        <v>維持管理・運営期間</v>
      </c>
      <c r="Y36" s="158">
        <f t="shared" si="1"/>
        <v>0</v>
      </c>
      <c r="Z36" s="156">
        <f t="shared" si="2"/>
        <v>0</v>
      </c>
      <c r="AA36" s="156">
        <f t="shared" si="3"/>
        <v>0</v>
      </c>
      <c r="AB36" s="156">
        <f t="shared" si="4"/>
        <v>0</v>
      </c>
      <c r="AC36" s="157">
        <f t="shared" si="5"/>
        <v>0</v>
      </c>
      <c r="AD36" s="158">
        <f t="shared" si="6"/>
        <v>0</v>
      </c>
      <c r="AE36" s="156">
        <f t="shared" si="7"/>
        <v>50</v>
      </c>
      <c r="AF36" s="156">
        <f t="shared" si="8"/>
        <v>10</v>
      </c>
      <c r="AG36" s="222">
        <f>IF(AND(SUM($AA$16:AA35)&gt;0,SUM($AG$16:AG35)&lt;$O$62,$W36&gt;=$O$65),$O$64,0)</f>
        <v>64.125</v>
      </c>
      <c r="AH36" s="220">
        <f>IF(SUM($AA$17:$AA35)&gt;0,($O$62-SUM($AG$17:$AG35))*$E$65,0)</f>
        <v>6.7331249999999994</v>
      </c>
      <c r="AI36" s="157">
        <f t="shared" si="9"/>
        <v>60</v>
      </c>
      <c r="AJ36" s="153">
        <f t="shared" si="10"/>
        <v>-60</v>
      </c>
      <c r="AK36" s="155">
        <f>(SUM($P$31,$P$51)-SUM($AU$17:AU35))*$O$109</f>
        <v>6.4342439644161598</v>
      </c>
      <c r="AL36" s="160"/>
      <c r="AM36" s="154">
        <f t="shared" si="11"/>
        <v>-30.446778682112388</v>
      </c>
      <c r="AN36" s="161"/>
      <c r="AO36" s="152">
        <f t="shared" si="12"/>
        <v>0</v>
      </c>
      <c r="AP36" s="153">
        <f t="shared" si="13"/>
        <v>0</v>
      </c>
      <c r="AQ36" s="153">
        <f t="shared" si="14"/>
        <v>0</v>
      </c>
      <c r="AR36" s="156">
        <f t="shared" si="15"/>
        <v>0</v>
      </c>
      <c r="AS36" s="157">
        <f t="shared" si="16"/>
        <v>0</v>
      </c>
      <c r="AT36" s="156">
        <f t="shared" si="17"/>
        <v>0</v>
      </c>
      <c r="AU36" s="156">
        <f t="shared" si="18"/>
        <v>104.57443217436862</v>
      </c>
      <c r="AV36" s="156">
        <f t="shared" si="19"/>
        <v>17.527768040995738</v>
      </c>
      <c r="AW36" s="156">
        <f t="shared" si="20"/>
        <v>47.5</v>
      </c>
      <c r="AX36" s="267">
        <f t="shared" si="21"/>
        <v>6</v>
      </c>
      <c r="AY36" s="268">
        <f t="shared" si="22"/>
        <v>45.78</v>
      </c>
      <c r="AZ36" s="267">
        <f>IF(AND(SUM($AQ$16:AQ35)&gt;0,SUM($AZ$16:AZ35)&lt;$P$62,$W36&gt;=$P$65),$P$64,0)</f>
        <v>10.6875</v>
      </c>
      <c r="BA36" s="156">
        <f>IF(SUM($AQ$17:$AQ35)&gt;0,($P$62-SUM($AZ$17:$AZ35))*$F$65,0)</f>
        <v>1.1221874999999999</v>
      </c>
      <c r="BB36" s="157">
        <f t="shared" si="23"/>
        <v>221.38220021536435</v>
      </c>
      <c r="BC36" s="153">
        <f t="shared" si="24"/>
        <v>-221.38220021536435</v>
      </c>
      <c r="BD36" s="154">
        <f t="shared" si="25"/>
        <v>-112.33958090193819</v>
      </c>
      <c r="BE36" s="48"/>
      <c r="BF36" s="46">
        <f t="shared" si="42"/>
        <v>0.50744631136853979</v>
      </c>
      <c r="BH36" s="152">
        <f t="shared" si="26"/>
        <v>0</v>
      </c>
      <c r="BI36" s="152">
        <f t="shared" si="27"/>
        <v>104.57443217436862</v>
      </c>
      <c r="BJ36" s="153">
        <f t="shared" si="28"/>
        <v>17.527768040995738</v>
      </c>
      <c r="BK36" s="153">
        <f t="shared" si="29"/>
        <v>47.5</v>
      </c>
      <c r="BL36" s="153">
        <f t="shared" si="30"/>
        <v>45.78</v>
      </c>
      <c r="BM36" s="153">
        <f t="shared" si="31"/>
        <v>0</v>
      </c>
      <c r="BN36" s="154">
        <f t="shared" si="32"/>
        <v>215.38220021536435</v>
      </c>
      <c r="BO36" s="153">
        <f t="shared" si="33"/>
        <v>0</v>
      </c>
      <c r="BP36" s="153">
        <f t="shared" si="34"/>
        <v>47.5</v>
      </c>
      <c r="BQ36" s="153">
        <f t="shared" si="35"/>
        <v>12.242913863013674</v>
      </c>
      <c r="BR36" s="153">
        <f t="shared" si="36"/>
        <v>12</v>
      </c>
      <c r="BS36" s="220">
        <f t="shared" si="37"/>
        <v>0</v>
      </c>
      <c r="BT36" s="153">
        <f t="array" ref="BT36">IF($W36&lt;=$O$16,_xlfn.IFS(W36&lt;$F$16,$P$92,W36=$F$16,$P$93,W36&gt;$F$16,$P$94),0)</f>
        <v>33.78</v>
      </c>
      <c r="BU36" s="154">
        <f t="shared" si="38"/>
        <v>93.28</v>
      </c>
      <c r="BV36" s="154">
        <f t="shared" si="39"/>
        <v>122.10220021536435</v>
      </c>
      <c r="BW36" s="150"/>
      <c r="BX36" s="155">
        <f t="shared" si="40"/>
        <v>99.273619630159814</v>
      </c>
      <c r="BY36" s="273">
        <f t="shared" si="43"/>
        <v>0</v>
      </c>
      <c r="CA36"/>
    </row>
    <row r="37" spans="2:79" ht="15.75" customHeight="1">
      <c r="C37" s="2" t="s">
        <v>119</v>
      </c>
      <c r="D37" t="s">
        <v>38</v>
      </c>
      <c r="F37" s="15">
        <v>0.01</v>
      </c>
      <c r="V37" s="57">
        <f t="shared" si="41"/>
        <v>53052</v>
      </c>
      <c r="W37" s="7">
        <v>21</v>
      </c>
      <c r="X37" s="269" t="str">
        <f t="shared" si="0"/>
        <v>維持管理・運営期間</v>
      </c>
      <c r="Y37" s="158">
        <f t="shared" si="1"/>
        <v>0</v>
      </c>
      <c r="Z37" s="156">
        <f t="shared" si="2"/>
        <v>0</v>
      </c>
      <c r="AA37" s="156">
        <f t="shared" si="3"/>
        <v>0</v>
      </c>
      <c r="AB37" s="156">
        <f t="shared" si="4"/>
        <v>0</v>
      </c>
      <c r="AC37" s="157">
        <f t="shared" si="5"/>
        <v>0</v>
      </c>
      <c r="AD37" s="158">
        <f t="shared" si="6"/>
        <v>0</v>
      </c>
      <c r="AE37" s="156">
        <f t="shared" si="7"/>
        <v>50</v>
      </c>
      <c r="AF37" s="156">
        <f t="shared" si="8"/>
        <v>10</v>
      </c>
      <c r="AG37" s="222">
        <f>IF(AND(SUM($AA$16:AA36)&gt;0,SUM($AG$16:AG36)&lt;$O$62,$W37&gt;=$O$65),$O$64,0)</f>
        <v>64.125</v>
      </c>
      <c r="AH37" s="220">
        <f>IF(SUM($AA$17:$AA36)&gt;0,($O$62-SUM($AG$17:$AG36))*$E$65,0)</f>
        <v>5.7712500000000002</v>
      </c>
      <c r="AI37" s="157">
        <f t="shared" si="9"/>
        <v>60</v>
      </c>
      <c r="AJ37" s="153">
        <f t="shared" si="10"/>
        <v>-60</v>
      </c>
      <c r="AK37" s="155">
        <f>(SUM($P$31,$P$51)-SUM($AU$17:AU36))*$O$109</f>
        <v>4.9179146978878148</v>
      </c>
      <c r="AL37" s="160"/>
      <c r="AM37" s="154">
        <f t="shared" si="11"/>
        <v>-29.431395536116373</v>
      </c>
      <c r="AN37" s="161"/>
      <c r="AO37" s="152">
        <f t="shared" si="12"/>
        <v>0</v>
      </c>
      <c r="AP37" s="153">
        <f t="shared" si="13"/>
        <v>0</v>
      </c>
      <c r="AQ37" s="153">
        <f t="shared" si="14"/>
        <v>0</v>
      </c>
      <c r="AR37" s="156">
        <f t="shared" si="15"/>
        <v>0</v>
      </c>
      <c r="AS37" s="157">
        <f t="shared" si="16"/>
        <v>0</v>
      </c>
      <c r="AT37" s="156">
        <f t="shared" si="17"/>
        <v>0</v>
      </c>
      <c r="AU37" s="156">
        <f t="shared" si="18"/>
        <v>108.70512224525618</v>
      </c>
      <c r="AV37" s="156">
        <f t="shared" si="19"/>
        <v>13.397077970108176</v>
      </c>
      <c r="AW37" s="156">
        <f t="shared" si="20"/>
        <v>47.5</v>
      </c>
      <c r="AX37" s="267">
        <f t="shared" si="21"/>
        <v>6</v>
      </c>
      <c r="AY37" s="268">
        <f t="shared" si="22"/>
        <v>45.78</v>
      </c>
      <c r="AZ37" s="267">
        <f>IF(AND(SUM($AQ$16:AQ36)&gt;0,SUM($AZ$16:AZ36)&lt;$P$62,$W37&gt;=$P$65),$P$64,0)</f>
        <v>10.6875</v>
      </c>
      <c r="BA37" s="156">
        <f>IF(SUM($AQ$17:$AQ36)&gt;0,($P$62-SUM($AZ$17:$AZ36))*$F$65,0)</f>
        <v>0.96187499999999992</v>
      </c>
      <c r="BB37" s="157">
        <f t="shared" si="23"/>
        <v>221.38220021536435</v>
      </c>
      <c r="BC37" s="153">
        <f t="shared" si="24"/>
        <v>-221.38220021536435</v>
      </c>
      <c r="BD37" s="154">
        <f t="shared" si="25"/>
        <v>-108.59311831990159</v>
      </c>
      <c r="BE37" s="48"/>
      <c r="BF37" s="46">
        <f t="shared" si="42"/>
        <v>0.49052325893527288</v>
      </c>
      <c r="BH37" s="152">
        <f t="shared" si="26"/>
        <v>0</v>
      </c>
      <c r="BI37" s="152">
        <f t="shared" si="27"/>
        <v>108.70512224525618</v>
      </c>
      <c r="BJ37" s="153">
        <f t="shared" si="28"/>
        <v>13.397077970108176</v>
      </c>
      <c r="BK37" s="153">
        <f t="shared" si="29"/>
        <v>47.5</v>
      </c>
      <c r="BL37" s="153">
        <f t="shared" si="30"/>
        <v>45.78</v>
      </c>
      <c r="BM37" s="153">
        <f t="shared" si="31"/>
        <v>0</v>
      </c>
      <c r="BN37" s="154">
        <f t="shared" si="32"/>
        <v>215.38220021536435</v>
      </c>
      <c r="BO37" s="153">
        <f t="shared" si="33"/>
        <v>0</v>
      </c>
      <c r="BP37" s="153">
        <f t="shared" si="34"/>
        <v>47.5</v>
      </c>
      <c r="BQ37" s="153">
        <f t="shared" si="35"/>
        <v>9.3143420839239592</v>
      </c>
      <c r="BR37" s="153">
        <f t="shared" si="36"/>
        <v>12</v>
      </c>
      <c r="BS37" s="220">
        <f t="shared" si="37"/>
        <v>0</v>
      </c>
      <c r="BT37" s="153">
        <f t="array" ref="BT37">IF($W37&lt;=$O$16,_xlfn.IFS(W37&lt;$F$16,$P$92,W37=$F$16,$P$93,W37&gt;$F$16,$P$94),0)</f>
        <v>33.78</v>
      </c>
      <c r="BU37" s="154">
        <f t="shared" si="38"/>
        <v>93.28</v>
      </c>
      <c r="BV37" s="154">
        <f t="shared" si="39"/>
        <v>122.10220021536435</v>
      </c>
      <c r="BW37" s="150"/>
      <c r="BX37" s="155">
        <f t="shared" si="40"/>
        <v>102.20219140924951</v>
      </c>
      <c r="BY37" s="273">
        <f t="shared" si="43"/>
        <v>0</v>
      </c>
      <c r="CA37"/>
    </row>
    <row r="38" spans="2:79" ht="15.75" customHeight="1">
      <c r="C38" s="98"/>
      <c r="D38" s="100" t="s">
        <v>120</v>
      </c>
      <c r="E38" s="99"/>
      <c r="F38" s="97">
        <f>BY15</f>
        <v>0</v>
      </c>
      <c r="V38" s="57">
        <f t="shared" si="41"/>
        <v>53417</v>
      </c>
      <c r="W38" s="7">
        <v>22</v>
      </c>
      <c r="X38" s="269" t="str">
        <f t="shared" si="0"/>
        <v>維持管理・運営期間</v>
      </c>
      <c r="Y38" s="158">
        <f t="shared" si="1"/>
        <v>0</v>
      </c>
      <c r="Z38" s="156">
        <f t="shared" si="2"/>
        <v>0</v>
      </c>
      <c r="AA38" s="156">
        <f t="shared" si="3"/>
        <v>0</v>
      </c>
      <c r="AB38" s="156">
        <f t="shared" si="4"/>
        <v>0</v>
      </c>
      <c r="AC38" s="157">
        <f t="shared" si="5"/>
        <v>0</v>
      </c>
      <c r="AD38" s="158">
        <f t="shared" si="6"/>
        <v>0</v>
      </c>
      <c r="AE38" s="156">
        <f t="shared" si="7"/>
        <v>50</v>
      </c>
      <c r="AF38" s="156">
        <f t="shared" si="8"/>
        <v>10</v>
      </c>
      <c r="AG38" s="222">
        <f>IF(AND(SUM($AA$16:AA37)&gt;0,SUM($AG$16:AG37)&lt;$O$62,$W38&gt;=$O$65),$O$64,0)</f>
        <v>64.125</v>
      </c>
      <c r="AH38" s="220">
        <f>IF(SUM($AA$17:$AA37)&gt;0,($O$62-SUM($AG$17:$AG37))*$E$65,0)</f>
        <v>4.8093750000000002</v>
      </c>
      <c r="AI38" s="157">
        <f t="shared" si="9"/>
        <v>60</v>
      </c>
      <c r="AJ38" s="153">
        <f t="shared" si="10"/>
        <v>-60</v>
      </c>
      <c r="AK38" s="155">
        <f>(SUM($P$31,$P$51)-SUM($AU$17:AU37))*$O$109</f>
        <v>3.3416904253315991</v>
      </c>
      <c r="AL38" s="160"/>
      <c r="AM38" s="154">
        <f t="shared" si="11"/>
        <v>-28.449874853664934</v>
      </c>
      <c r="AN38" s="161"/>
      <c r="AO38" s="152">
        <f t="shared" si="12"/>
        <v>0</v>
      </c>
      <c r="AP38" s="153">
        <f t="shared" si="13"/>
        <v>0</v>
      </c>
      <c r="AQ38" s="153">
        <f t="shared" si="14"/>
        <v>0</v>
      </c>
      <c r="AR38" s="156">
        <f t="shared" si="15"/>
        <v>0</v>
      </c>
      <c r="AS38" s="157">
        <f t="shared" si="16"/>
        <v>0</v>
      </c>
      <c r="AT38" s="156">
        <f t="shared" si="17"/>
        <v>0</v>
      </c>
      <c r="AU38" s="156">
        <f t="shared" si="18"/>
        <v>112.99897457394381</v>
      </c>
      <c r="AV38" s="156">
        <f t="shared" si="19"/>
        <v>9.1032256414205577</v>
      </c>
      <c r="AW38" s="156">
        <f t="shared" si="20"/>
        <v>47.5</v>
      </c>
      <c r="AX38" s="267">
        <f t="shared" si="21"/>
        <v>6</v>
      </c>
      <c r="AY38" s="268">
        <f t="shared" si="22"/>
        <v>45.78</v>
      </c>
      <c r="AZ38" s="267">
        <f>IF(AND(SUM($AQ$16:AQ37)&gt;0,SUM($AZ$16:AZ37)&lt;$P$62,$W38&gt;=$P$65),$P$64,0)</f>
        <v>10.6875</v>
      </c>
      <c r="BA38" s="156">
        <f>IF(SUM($AQ$17:$AQ37)&gt;0,($P$62-SUM($AZ$17:$AZ37))*$F$65,0)</f>
        <v>0.80156249999999996</v>
      </c>
      <c r="BB38" s="157">
        <f t="shared" si="23"/>
        <v>221.38220021536438</v>
      </c>
      <c r="BC38" s="153">
        <f t="shared" si="24"/>
        <v>-221.38220021536438</v>
      </c>
      <c r="BD38" s="154">
        <f t="shared" si="25"/>
        <v>-104.97159818260184</v>
      </c>
      <c r="BE38" s="48"/>
      <c r="BF38" s="46">
        <f t="shared" si="42"/>
        <v>0.47416458089441554</v>
      </c>
      <c r="BH38" s="152">
        <f t="shared" si="26"/>
        <v>0</v>
      </c>
      <c r="BI38" s="152">
        <f t="shared" si="27"/>
        <v>112.99897457394381</v>
      </c>
      <c r="BJ38" s="153">
        <f t="shared" si="28"/>
        <v>9.1032256414205577</v>
      </c>
      <c r="BK38" s="153">
        <f t="shared" si="29"/>
        <v>47.5</v>
      </c>
      <c r="BL38" s="153">
        <f t="shared" si="30"/>
        <v>45.78</v>
      </c>
      <c r="BM38" s="153">
        <f t="shared" si="31"/>
        <v>0</v>
      </c>
      <c r="BN38" s="154">
        <f t="shared" si="32"/>
        <v>215.38220021536438</v>
      </c>
      <c r="BO38" s="153">
        <f t="shared" si="33"/>
        <v>0</v>
      </c>
      <c r="BP38" s="153">
        <f t="shared" si="34"/>
        <v>47.5</v>
      </c>
      <c r="BQ38" s="153">
        <f t="shared" si="35"/>
        <v>6.2993774373511</v>
      </c>
      <c r="BR38" s="153">
        <f t="shared" si="36"/>
        <v>12</v>
      </c>
      <c r="BS38" s="220">
        <f t="shared" si="37"/>
        <v>0</v>
      </c>
      <c r="BT38" s="153">
        <f t="array" ref="BT38">IF($W38&lt;=$O$16,_xlfn.IFS(W38&lt;$F$16,$P$92,W38=$F$16,$P$93,W38&gt;$F$16,$P$94),0)</f>
        <v>33.78</v>
      </c>
      <c r="BU38" s="154">
        <f t="shared" si="38"/>
        <v>93.28</v>
      </c>
      <c r="BV38" s="154">
        <f t="shared" si="39"/>
        <v>122.10220021536438</v>
      </c>
      <c r="BW38" s="150"/>
      <c r="BX38" s="155">
        <f t="shared" si="40"/>
        <v>105.21715605582237</v>
      </c>
      <c r="BY38" s="273">
        <f t="shared" si="43"/>
        <v>0</v>
      </c>
      <c r="CA38"/>
    </row>
    <row r="39" spans="2:79" ht="15.75" customHeight="1">
      <c r="V39" s="57">
        <f t="shared" si="41"/>
        <v>53782</v>
      </c>
      <c r="W39" s="7">
        <v>23</v>
      </c>
      <c r="X39" s="269" t="str">
        <f t="shared" si="0"/>
        <v>維持管理・運営期間</v>
      </c>
      <c r="Y39" s="158">
        <f t="shared" si="1"/>
        <v>0</v>
      </c>
      <c r="Z39" s="156">
        <f t="shared" si="2"/>
        <v>0</v>
      </c>
      <c r="AA39" s="156">
        <f t="shared" si="3"/>
        <v>0</v>
      </c>
      <c r="AB39" s="156">
        <f t="shared" si="4"/>
        <v>0</v>
      </c>
      <c r="AC39" s="157">
        <f t="shared" si="5"/>
        <v>0</v>
      </c>
      <c r="AD39" s="158">
        <f t="shared" si="6"/>
        <v>0</v>
      </c>
      <c r="AE39" s="156">
        <f t="shared" si="7"/>
        <v>50</v>
      </c>
      <c r="AF39" s="156">
        <f t="shared" si="8"/>
        <v>10</v>
      </c>
      <c r="AG39" s="222">
        <f>IF(AND(SUM($AA$16:AA38)&gt;0,SUM($AG$16:AG38)&lt;$O$62,$W39&gt;=$O$65),$O$64,0)</f>
        <v>64.125</v>
      </c>
      <c r="AH39" s="220">
        <f>IF(SUM($AA$17:$AA38)&gt;0,($O$62-SUM($AG$17:$AG38))*$E$65,0)</f>
        <v>3.8474999999999997</v>
      </c>
      <c r="AI39" s="157">
        <f t="shared" si="9"/>
        <v>60</v>
      </c>
      <c r="AJ39" s="153">
        <f t="shared" si="10"/>
        <v>-60</v>
      </c>
      <c r="AK39" s="155">
        <f>(SUM($P$31,$P$51)-SUM($AU$17:AU38))*$O$109</f>
        <v>1.7032052940094144</v>
      </c>
      <c r="AL39" s="160"/>
      <c r="AM39" s="154">
        <f t="shared" si="11"/>
        <v>-27.50108734042043</v>
      </c>
      <c r="AN39" s="161"/>
      <c r="AO39" s="152">
        <f t="shared" si="12"/>
        <v>0</v>
      </c>
      <c r="AP39" s="153">
        <f t="shared" si="13"/>
        <v>0</v>
      </c>
      <c r="AQ39" s="153">
        <f t="shared" si="14"/>
        <v>0</v>
      </c>
      <c r="AR39" s="156">
        <f t="shared" si="15"/>
        <v>0</v>
      </c>
      <c r="AS39" s="157">
        <f t="shared" si="16"/>
        <v>0</v>
      </c>
      <c r="AT39" s="156">
        <f t="shared" si="17"/>
        <v>0</v>
      </c>
      <c r="AU39" s="156">
        <f t="shared" si="18"/>
        <v>117.46243406961459</v>
      </c>
      <c r="AV39" s="156">
        <f t="shared" si="19"/>
        <v>4.6397661457497756</v>
      </c>
      <c r="AW39" s="156">
        <f t="shared" si="20"/>
        <v>47.5</v>
      </c>
      <c r="AX39" s="267">
        <f t="shared" si="21"/>
        <v>6</v>
      </c>
      <c r="AY39" s="268">
        <f t="shared" si="22"/>
        <v>45.78</v>
      </c>
      <c r="AZ39" s="267">
        <f>IF(AND(SUM($AQ$16:AQ38)&gt;0,SUM($AZ$16:AZ38)&lt;$P$62,$W39&gt;=$P$65),$P$64,0)</f>
        <v>10.6875</v>
      </c>
      <c r="BA39" s="156">
        <f>IF(SUM($AQ$17:$AQ38)&gt;0,($P$62-SUM($AZ$17:$AZ38))*$F$65,0)</f>
        <v>0.64124999999999999</v>
      </c>
      <c r="BB39" s="157">
        <f t="shared" si="23"/>
        <v>221.38220021536435</v>
      </c>
      <c r="BC39" s="153">
        <f t="shared" si="24"/>
        <v>-221.38220021536435</v>
      </c>
      <c r="BD39" s="154">
        <f t="shared" si="25"/>
        <v>-101.47085372895295</v>
      </c>
      <c r="BE39" s="48"/>
      <c r="BF39" s="46">
        <f t="shared" si="42"/>
        <v>0.4583514556736738</v>
      </c>
      <c r="BH39" s="152">
        <f t="shared" si="26"/>
        <v>0</v>
      </c>
      <c r="BI39" s="152">
        <f t="shared" si="27"/>
        <v>117.46243406961459</v>
      </c>
      <c r="BJ39" s="153">
        <f t="shared" si="28"/>
        <v>4.6397661457497756</v>
      </c>
      <c r="BK39" s="153">
        <f t="shared" si="29"/>
        <v>47.5</v>
      </c>
      <c r="BL39" s="153">
        <f t="shared" si="30"/>
        <v>45.78</v>
      </c>
      <c r="BM39" s="153">
        <f t="shared" si="31"/>
        <v>0</v>
      </c>
      <c r="BN39" s="154">
        <f t="shared" si="32"/>
        <v>215.38220021536435</v>
      </c>
      <c r="BO39" s="153">
        <f t="shared" si="33"/>
        <v>0</v>
      </c>
      <c r="BP39" s="153">
        <f t="shared" si="34"/>
        <v>47.5</v>
      </c>
      <c r="BQ39" s="153">
        <f t="shared" si="35"/>
        <v>3.1954713337043397</v>
      </c>
      <c r="BR39" s="153">
        <f t="shared" si="36"/>
        <v>12</v>
      </c>
      <c r="BS39" s="220">
        <f t="shared" si="37"/>
        <v>0</v>
      </c>
      <c r="BT39" s="153">
        <f t="array" ref="BT39">IF($W39&lt;=$O$16,_xlfn.IFS(W39&lt;$F$16,$P$92,W39=$F$16,$P$93,W39&gt;$F$16,$P$94),0)</f>
        <v>33.78</v>
      </c>
      <c r="BU39" s="154">
        <f t="shared" si="38"/>
        <v>93.28</v>
      </c>
      <c r="BV39" s="154">
        <f t="shared" si="39"/>
        <v>122.10220021536435</v>
      </c>
      <c r="BW39" s="150"/>
      <c r="BX39" s="155">
        <f t="shared" si="40"/>
        <v>108.32106215946915</v>
      </c>
      <c r="BY39" s="273">
        <f t="shared" si="43"/>
        <v>0</v>
      </c>
      <c r="CA39"/>
    </row>
    <row r="40" spans="2:79" ht="15.75" customHeight="1">
      <c r="B40" t="s">
        <v>121</v>
      </c>
      <c r="D40" t="s">
        <v>7</v>
      </c>
      <c r="F40" s="276">
        <f>SUM(F41:F42)</f>
        <v>50</v>
      </c>
      <c r="J40" s="4" t="s">
        <v>123</v>
      </c>
      <c r="V40" s="57">
        <f t="shared" si="41"/>
        <v>54148</v>
      </c>
      <c r="W40" s="26">
        <v>24</v>
      </c>
      <c r="X40" s="269" t="str">
        <f t="shared" si="0"/>
        <v>-</v>
      </c>
      <c r="Y40" s="158">
        <f t="shared" si="1"/>
        <v>0</v>
      </c>
      <c r="Z40" s="156">
        <f t="shared" si="2"/>
        <v>0</v>
      </c>
      <c r="AA40" s="156">
        <f t="shared" si="3"/>
        <v>0</v>
      </c>
      <c r="AB40" s="156">
        <f t="shared" si="4"/>
        <v>0</v>
      </c>
      <c r="AC40" s="157">
        <f t="shared" si="5"/>
        <v>0</v>
      </c>
      <c r="AD40" s="158">
        <f t="shared" si="6"/>
        <v>0</v>
      </c>
      <c r="AE40" s="156">
        <f t="shared" si="7"/>
        <v>0</v>
      </c>
      <c r="AF40" s="156">
        <f t="shared" si="8"/>
        <v>0</v>
      </c>
      <c r="AG40" s="222">
        <f>IF(AND(SUM($AA$16:AA39)&gt;0,SUM($AG$16:AG39)&lt;$O$62,$W40&gt;=$O$65),$O$64,0)</f>
        <v>64.125</v>
      </c>
      <c r="AH40" s="220">
        <f>IF(SUM($AA$17:$AA39)&gt;0,($O$62-SUM($AG$17:$AG39))*$E$65,0)</f>
        <v>2.8856250000000001</v>
      </c>
      <c r="AI40" s="157">
        <f t="shared" si="9"/>
        <v>0</v>
      </c>
      <c r="AJ40" s="153">
        <f t="shared" si="10"/>
        <v>0</v>
      </c>
      <c r="AK40" s="155">
        <f>(SUM($P$31,$P$51)-SUM($AU$17:AU39))*$O$109</f>
        <v>3.2969182939268646E-15</v>
      </c>
      <c r="AL40" s="160"/>
      <c r="AM40" s="154">
        <f t="shared" si="11"/>
        <v>0</v>
      </c>
      <c r="AN40" s="161"/>
      <c r="AO40" s="152">
        <f t="shared" si="12"/>
        <v>0</v>
      </c>
      <c r="AP40" s="153">
        <f t="shared" si="13"/>
        <v>0</v>
      </c>
      <c r="AQ40" s="153">
        <f t="shared" si="14"/>
        <v>0</v>
      </c>
      <c r="AR40" s="156">
        <f t="shared" si="15"/>
        <v>0</v>
      </c>
      <c r="AS40" s="157">
        <f t="shared" si="16"/>
        <v>0</v>
      </c>
      <c r="AT40" s="156">
        <f t="shared" si="17"/>
        <v>0</v>
      </c>
      <c r="AU40" s="156">
        <f t="shared" si="18"/>
        <v>0</v>
      </c>
      <c r="AV40" s="156">
        <f t="shared" si="19"/>
        <v>0</v>
      </c>
      <c r="AW40" s="156">
        <f t="shared" si="20"/>
        <v>0</v>
      </c>
      <c r="AX40" s="267">
        <f t="shared" si="21"/>
        <v>0</v>
      </c>
      <c r="AY40" s="268">
        <f t="shared" si="22"/>
        <v>0</v>
      </c>
      <c r="AZ40" s="267">
        <f>IF(AND(SUM($AQ$16:AQ39)&gt;0,SUM($AZ$16:AZ39)&lt;$P$62,$W40&gt;=$P$65),$P$64,0)</f>
        <v>10.6875</v>
      </c>
      <c r="BA40" s="156">
        <f>IF(SUM($AQ$17:$AQ39)&gt;0,($P$62-SUM($AZ$17:$AZ39))*$F$65,0)</f>
        <v>0.48093749999999996</v>
      </c>
      <c r="BB40" s="157">
        <f t="shared" si="23"/>
        <v>0</v>
      </c>
      <c r="BC40" s="153">
        <f t="shared" si="24"/>
        <v>0</v>
      </c>
      <c r="BD40" s="154">
        <f t="shared" si="25"/>
        <v>0</v>
      </c>
      <c r="BE40" s="48"/>
      <c r="BF40" s="46">
        <f t="shared" si="42"/>
        <v>0.44306568938972818</v>
      </c>
      <c r="BH40" s="152">
        <f t="shared" si="26"/>
        <v>0</v>
      </c>
      <c r="BI40" s="152">
        <f t="shared" si="27"/>
        <v>0</v>
      </c>
      <c r="BJ40" s="153">
        <f t="shared" si="28"/>
        <v>0</v>
      </c>
      <c r="BK40" s="153">
        <f t="shared" si="29"/>
        <v>0</v>
      </c>
      <c r="BL40" s="153">
        <f t="shared" si="30"/>
        <v>0</v>
      </c>
      <c r="BM40" s="153">
        <f t="shared" si="31"/>
        <v>0</v>
      </c>
      <c r="BN40" s="154">
        <f t="shared" si="32"/>
        <v>0</v>
      </c>
      <c r="BO40" s="153">
        <f t="shared" si="33"/>
        <v>0</v>
      </c>
      <c r="BP40" s="153">
        <f t="shared" si="34"/>
        <v>0</v>
      </c>
      <c r="BQ40" s="153">
        <f t="shared" si="35"/>
        <v>0</v>
      </c>
      <c r="BR40" s="153">
        <f t="shared" si="36"/>
        <v>0</v>
      </c>
      <c r="BS40" s="220">
        <f t="shared" si="37"/>
        <v>0</v>
      </c>
      <c r="BT40" s="153">
        <f t="array" ref="BT40">IF($W40&lt;=$O$16,_xlfn.IFS(W40&lt;$F$16,$P$92,W40=$F$16,$P$93,W40&gt;$F$16,$P$94),0)</f>
        <v>0</v>
      </c>
      <c r="BU40" s="154">
        <f t="shared" si="38"/>
        <v>0</v>
      </c>
      <c r="BV40" s="154">
        <f t="shared" si="39"/>
        <v>0</v>
      </c>
      <c r="BW40" s="150"/>
      <c r="BX40" s="155">
        <f t="shared" si="40"/>
        <v>0</v>
      </c>
      <c r="BY40" s="273">
        <f t="shared" si="43"/>
        <v>0</v>
      </c>
      <c r="CA40"/>
    </row>
    <row r="41" spans="2:79" ht="15.75" customHeight="1">
      <c r="C41" s="2" t="s">
        <v>105</v>
      </c>
      <c r="D41" t="s">
        <v>7</v>
      </c>
      <c r="F41" s="277">
        <f>事業費用概算!G27</f>
        <v>0</v>
      </c>
      <c r="K41" t="s">
        <v>124</v>
      </c>
      <c r="N41" s="19" t="s">
        <v>7</v>
      </c>
      <c r="O41" s="21">
        <f>F40</f>
        <v>50</v>
      </c>
      <c r="P41" s="68">
        <f>F40*(1-F52)</f>
        <v>47.5</v>
      </c>
      <c r="Q41" t="s">
        <v>106</v>
      </c>
      <c r="V41" s="57">
        <f t="shared" si="41"/>
        <v>54513</v>
      </c>
      <c r="W41" s="26">
        <v>25</v>
      </c>
      <c r="X41" s="269" t="str">
        <f t="shared" si="0"/>
        <v>-</v>
      </c>
      <c r="Y41" s="158">
        <f t="shared" si="1"/>
        <v>0</v>
      </c>
      <c r="Z41" s="156">
        <f t="shared" si="2"/>
        <v>0</v>
      </c>
      <c r="AA41" s="156">
        <f t="shared" si="3"/>
        <v>0</v>
      </c>
      <c r="AB41" s="156">
        <f t="shared" si="4"/>
        <v>0</v>
      </c>
      <c r="AC41" s="157">
        <f t="shared" si="5"/>
        <v>0</v>
      </c>
      <c r="AD41" s="158">
        <f t="shared" si="6"/>
        <v>0</v>
      </c>
      <c r="AE41" s="156">
        <f t="shared" si="7"/>
        <v>0</v>
      </c>
      <c r="AF41" s="156">
        <f t="shared" si="8"/>
        <v>0</v>
      </c>
      <c r="AG41" s="222">
        <f>IF(AND(SUM($AA$16:AA40)&gt;0,SUM($AG$16:AG40)&lt;$O$62,$W41&gt;=$O$65),$O$64,0)</f>
        <v>64.125</v>
      </c>
      <c r="AH41" s="220">
        <f>IF(SUM($AA$17:$AA40)&gt;0,($O$62-SUM($AG$17:$AG40))*$E$65,0)</f>
        <v>1.9237499999999998</v>
      </c>
      <c r="AI41" s="157">
        <f t="shared" si="9"/>
        <v>0</v>
      </c>
      <c r="AJ41" s="153">
        <f t="shared" si="10"/>
        <v>0</v>
      </c>
      <c r="AK41" s="155">
        <f>(SUM($P$31,$P$51)-SUM($AU$17:AU40))*$O$109</f>
        <v>3.2969182939268646E-15</v>
      </c>
      <c r="AL41" s="160"/>
      <c r="AM41" s="154">
        <f t="shared" si="11"/>
        <v>0</v>
      </c>
      <c r="AN41" s="161"/>
      <c r="AO41" s="152">
        <f t="shared" si="12"/>
        <v>0</v>
      </c>
      <c r="AP41" s="153">
        <f t="shared" si="13"/>
        <v>0</v>
      </c>
      <c r="AQ41" s="153">
        <f t="shared" si="14"/>
        <v>0</v>
      </c>
      <c r="AR41" s="156">
        <f t="shared" si="15"/>
        <v>0</v>
      </c>
      <c r="AS41" s="157">
        <f t="shared" si="16"/>
        <v>0</v>
      </c>
      <c r="AT41" s="156">
        <f t="shared" si="17"/>
        <v>0</v>
      </c>
      <c r="AU41" s="156">
        <f t="shared" si="18"/>
        <v>0</v>
      </c>
      <c r="AV41" s="156">
        <f t="shared" si="19"/>
        <v>0</v>
      </c>
      <c r="AW41" s="156">
        <f t="shared" si="20"/>
        <v>0</v>
      </c>
      <c r="AX41" s="267">
        <f t="shared" si="21"/>
        <v>0</v>
      </c>
      <c r="AY41" s="268">
        <f t="shared" si="22"/>
        <v>0</v>
      </c>
      <c r="AZ41" s="267">
        <f>IF(AND(SUM($AQ$16:AQ40)&gt;0,SUM($AZ$16:AZ40)&lt;$P$62,$W41&gt;=$P$65),$P$64,0)</f>
        <v>10.6875</v>
      </c>
      <c r="BA41" s="156">
        <f>IF(SUM($AQ$17:$AQ40)&gt;0,($P$62-SUM($AZ$17:$AZ40))*$F$65,0)</f>
        <v>0.32062499999999999</v>
      </c>
      <c r="BB41" s="157">
        <f t="shared" si="23"/>
        <v>0</v>
      </c>
      <c r="BC41" s="153">
        <f t="shared" si="24"/>
        <v>0</v>
      </c>
      <c r="BD41" s="154">
        <f t="shared" si="25"/>
        <v>0</v>
      </c>
      <c r="BE41" s="48"/>
      <c r="BF41" s="46">
        <f t="shared" si="42"/>
        <v>0.42828969491515534</v>
      </c>
      <c r="BH41" s="152">
        <f t="shared" si="26"/>
        <v>0</v>
      </c>
      <c r="BI41" s="152">
        <f t="shared" si="27"/>
        <v>0</v>
      </c>
      <c r="BJ41" s="153">
        <f t="shared" si="28"/>
        <v>0</v>
      </c>
      <c r="BK41" s="153">
        <f t="shared" si="29"/>
        <v>0</v>
      </c>
      <c r="BL41" s="153">
        <f t="shared" si="30"/>
        <v>0</v>
      </c>
      <c r="BM41" s="153">
        <f t="shared" si="31"/>
        <v>0</v>
      </c>
      <c r="BN41" s="154">
        <f t="shared" si="32"/>
        <v>0</v>
      </c>
      <c r="BO41" s="153">
        <f t="shared" si="33"/>
        <v>0</v>
      </c>
      <c r="BP41" s="153">
        <f t="shared" si="34"/>
        <v>0</v>
      </c>
      <c r="BQ41" s="153">
        <f t="shared" si="35"/>
        <v>0</v>
      </c>
      <c r="BR41" s="153">
        <f t="shared" si="36"/>
        <v>0</v>
      </c>
      <c r="BS41" s="220">
        <f t="shared" si="37"/>
        <v>0</v>
      </c>
      <c r="BT41" s="153">
        <f t="array" ref="BT41">IF($W41&lt;=$O$16,_xlfn.IFS(W41&lt;$F$16,$P$92,W41=$F$16,$P$93,W41&gt;$F$16,$P$94),0)</f>
        <v>0</v>
      </c>
      <c r="BU41" s="154">
        <f t="shared" si="38"/>
        <v>0</v>
      </c>
      <c r="BV41" s="154">
        <f t="shared" si="39"/>
        <v>0</v>
      </c>
      <c r="BW41" s="150"/>
      <c r="BX41" s="155">
        <f t="shared" si="40"/>
        <v>0</v>
      </c>
      <c r="BY41" s="273">
        <f t="shared" si="43"/>
        <v>0</v>
      </c>
      <c r="CA41"/>
    </row>
    <row r="42" spans="2:79" ht="15.75" customHeight="1">
      <c r="C42" s="2" t="s">
        <v>125</v>
      </c>
      <c r="D42" t="s">
        <v>7</v>
      </c>
      <c r="F42" s="277">
        <f>事業費用概算!G28</f>
        <v>50</v>
      </c>
      <c r="K42" t="s">
        <v>126</v>
      </c>
      <c r="N42" s="19" t="s">
        <v>7</v>
      </c>
      <c r="O42" s="52"/>
      <c r="P42" s="68">
        <f>F56</f>
        <v>0</v>
      </c>
      <c r="Q42" t="s">
        <v>127</v>
      </c>
      <c r="V42" s="57">
        <f t="shared" si="41"/>
        <v>54878</v>
      </c>
      <c r="W42" s="26">
        <v>26</v>
      </c>
      <c r="X42" s="269" t="str">
        <f t="shared" si="0"/>
        <v>-</v>
      </c>
      <c r="Y42" s="158">
        <f t="shared" si="1"/>
        <v>0</v>
      </c>
      <c r="Z42" s="156">
        <f t="shared" si="2"/>
        <v>0</v>
      </c>
      <c r="AA42" s="156">
        <f t="shared" si="3"/>
        <v>0</v>
      </c>
      <c r="AB42" s="156">
        <f t="shared" si="4"/>
        <v>0</v>
      </c>
      <c r="AC42" s="157">
        <f t="shared" si="5"/>
        <v>0</v>
      </c>
      <c r="AD42" s="158">
        <f t="shared" si="6"/>
        <v>0</v>
      </c>
      <c r="AE42" s="156">
        <f t="shared" si="7"/>
        <v>0</v>
      </c>
      <c r="AF42" s="156">
        <f t="shared" si="8"/>
        <v>0</v>
      </c>
      <c r="AG42" s="222">
        <f>IF(AND(SUM($AA$16:AA41)&gt;0,SUM($AG$16:AG41)&lt;$O$62,$W42&gt;=$O$65),$O$64,0)</f>
        <v>64.125</v>
      </c>
      <c r="AH42" s="220">
        <f>IF(SUM($AA$17:$AA41)&gt;0,($O$62-SUM($AG$17:$AG41))*$E$65,0)</f>
        <v>0.96187499999999992</v>
      </c>
      <c r="AI42" s="157">
        <f t="shared" si="9"/>
        <v>0</v>
      </c>
      <c r="AJ42" s="153">
        <f t="shared" si="10"/>
        <v>0</v>
      </c>
      <c r="AK42" s="155">
        <f>(SUM($P$31,$P$51)-SUM($AU$17:AU41))*$O$109</f>
        <v>3.2969182939268646E-15</v>
      </c>
      <c r="AL42" s="160"/>
      <c r="AM42" s="154">
        <f t="shared" si="11"/>
        <v>0</v>
      </c>
      <c r="AN42" s="161"/>
      <c r="AO42" s="152">
        <f t="shared" si="12"/>
        <v>0</v>
      </c>
      <c r="AP42" s="153">
        <f t="shared" si="13"/>
        <v>0</v>
      </c>
      <c r="AQ42" s="153">
        <f t="shared" si="14"/>
        <v>0</v>
      </c>
      <c r="AR42" s="156">
        <f t="shared" si="15"/>
        <v>0</v>
      </c>
      <c r="AS42" s="157">
        <f t="shared" si="16"/>
        <v>0</v>
      </c>
      <c r="AT42" s="156">
        <f t="shared" si="17"/>
        <v>0</v>
      </c>
      <c r="AU42" s="156">
        <f t="shared" si="18"/>
        <v>0</v>
      </c>
      <c r="AV42" s="156">
        <f t="shared" si="19"/>
        <v>0</v>
      </c>
      <c r="AW42" s="156">
        <f t="shared" si="20"/>
        <v>0</v>
      </c>
      <c r="AX42" s="267">
        <f t="shared" si="21"/>
        <v>0</v>
      </c>
      <c r="AY42" s="268">
        <f t="shared" si="22"/>
        <v>0</v>
      </c>
      <c r="AZ42" s="267">
        <f>IF(AND(SUM($AQ$16:AQ41)&gt;0,SUM($AZ$16:AZ41)&lt;$P$62,$W42&gt;=$P$65),$P$64,0)</f>
        <v>10.6875</v>
      </c>
      <c r="BA42" s="156">
        <f>IF(SUM($AQ$17:$AQ41)&gt;0,($P$62-SUM($AZ$17:$AZ41))*$F$65,0)</f>
        <v>0.1603125</v>
      </c>
      <c r="BB42" s="157">
        <f t="shared" si="23"/>
        <v>0</v>
      </c>
      <c r="BC42" s="153">
        <f t="shared" si="24"/>
        <v>0</v>
      </c>
      <c r="BD42" s="154">
        <f t="shared" si="25"/>
        <v>0</v>
      </c>
      <c r="BE42" s="48"/>
      <c r="BF42" s="46">
        <f t="shared" si="42"/>
        <v>0.41400647164345611</v>
      </c>
      <c r="BH42" s="152">
        <f t="shared" si="26"/>
        <v>0</v>
      </c>
      <c r="BI42" s="152">
        <f t="shared" si="27"/>
        <v>0</v>
      </c>
      <c r="BJ42" s="153">
        <f t="shared" si="28"/>
        <v>0</v>
      </c>
      <c r="BK42" s="153">
        <f t="shared" si="29"/>
        <v>0</v>
      </c>
      <c r="BL42" s="153">
        <f t="shared" si="30"/>
        <v>0</v>
      </c>
      <c r="BM42" s="153">
        <f t="shared" si="31"/>
        <v>0</v>
      </c>
      <c r="BN42" s="154">
        <f t="shared" si="32"/>
        <v>0</v>
      </c>
      <c r="BO42" s="153">
        <f t="shared" si="33"/>
        <v>0</v>
      </c>
      <c r="BP42" s="153">
        <f t="shared" si="34"/>
        <v>0</v>
      </c>
      <c r="BQ42" s="153">
        <f t="shared" si="35"/>
        <v>0</v>
      </c>
      <c r="BR42" s="153">
        <f t="shared" si="36"/>
        <v>0</v>
      </c>
      <c r="BS42" s="220">
        <f t="shared" si="37"/>
        <v>0</v>
      </c>
      <c r="BT42" s="153">
        <f t="array" ref="BT42">IF($W42&lt;=$O$16,_xlfn.IFS(W42&lt;$F$16,$P$92,W42=$F$16,$P$93,W42&gt;$F$16,$P$94),0)</f>
        <v>0</v>
      </c>
      <c r="BU42" s="154">
        <f t="shared" si="38"/>
        <v>0</v>
      </c>
      <c r="BV42" s="154">
        <f t="shared" si="39"/>
        <v>0</v>
      </c>
      <c r="BW42" s="150"/>
      <c r="BX42" s="155">
        <f t="shared" si="40"/>
        <v>0</v>
      </c>
      <c r="BY42" s="273">
        <f t="shared" si="43"/>
        <v>0</v>
      </c>
      <c r="CA42"/>
    </row>
    <row r="43" spans="2:79" ht="15.75" customHeight="1">
      <c r="B43" t="s">
        <v>233</v>
      </c>
      <c r="E43" s="19" t="s">
        <v>2</v>
      </c>
      <c r="F43" s="19" t="s">
        <v>50</v>
      </c>
      <c r="K43" t="s">
        <v>129</v>
      </c>
      <c r="N43" s="19" t="s">
        <v>7</v>
      </c>
      <c r="O43" s="68">
        <f>O41-O42</f>
        <v>50</v>
      </c>
      <c r="P43" s="68">
        <f>P41-P42</f>
        <v>47.5</v>
      </c>
      <c r="V43" s="57">
        <f t="shared" si="41"/>
        <v>55243</v>
      </c>
      <c r="W43" s="26">
        <v>27</v>
      </c>
      <c r="X43" s="269" t="str">
        <f t="shared" si="0"/>
        <v>-</v>
      </c>
      <c r="Y43" s="158">
        <f t="shared" si="1"/>
        <v>0</v>
      </c>
      <c r="Z43" s="156">
        <f t="shared" si="2"/>
        <v>0</v>
      </c>
      <c r="AA43" s="156">
        <f t="shared" si="3"/>
        <v>0</v>
      </c>
      <c r="AB43" s="156">
        <f t="shared" si="4"/>
        <v>0</v>
      </c>
      <c r="AC43" s="157">
        <f t="shared" si="5"/>
        <v>0</v>
      </c>
      <c r="AD43" s="158">
        <f t="shared" si="6"/>
        <v>0</v>
      </c>
      <c r="AE43" s="156">
        <f t="shared" si="7"/>
        <v>0</v>
      </c>
      <c r="AF43" s="156">
        <f t="shared" si="8"/>
        <v>0</v>
      </c>
      <c r="AG43" s="222">
        <f>IF(AND(SUM($AA$16:AA42)&gt;0,SUM($AG$16:AG42)&lt;$O$62,$W43&gt;=$O$65),$O$64,0)</f>
        <v>0</v>
      </c>
      <c r="AH43" s="220">
        <f>IF(SUM($AA$17:$AA42)&gt;0,($O$62-SUM($AG$17:$AG42))*$E$65,0)</f>
        <v>0</v>
      </c>
      <c r="AI43" s="157">
        <f t="shared" si="9"/>
        <v>0</v>
      </c>
      <c r="AJ43" s="153">
        <f t="shared" si="10"/>
        <v>0</v>
      </c>
      <c r="AK43" s="155">
        <f>(SUM($P$31,$P$51)-SUM($AU$17:AU42))*$O$109</f>
        <v>3.2969182939268646E-15</v>
      </c>
      <c r="AL43" s="160"/>
      <c r="AM43" s="154">
        <f t="shared" si="11"/>
        <v>0</v>
      </c>
      <c r="AN43" s="161"/>
      <c r="AO43" s="152">
        <f t="shared" si="12"/>
        <v>0</v>
      </c>
      <c r="AP43" s="153">
        <f t="shared" si="13"/>
        <v>0</v>
      </c>
      <c r="AQ43" s="153">
        <f t="shared" si="14"/>
        <v>0</v>
      </c>
      <c r="AR43" s="156">
        <f t="shared" si="15"/>
        <v>0</v>
      </c>
      <c r="AS43" s="157">
        <f t="shared" si="16"/>
        <v>0</v>
      </c>
      <c r="AT43" s="156">
        <f t="shared" si="17"/>
        <v>0</v>
      </c>
      <c r="AU43" s="156">
        <f t="shared" si="18"/>
        <v>0</v>
      </c>
      <c r="AV43" s="156">
        <f t="shared" si="19"/>
        <v>0</v>
      </c>
      <c r="AW43" s="156">
        <f t="shared" si="20"/>
        <v>0</v>
      </c>
      <c r="AX43" s="267">
        <f t="shared" si="21"/>
        <v>0</v>
      </c>
      <c r="AY43" s="268">
        <f t="shared" si="22"/>
        <v>0</v>
      </c>
      <c r="AZ43" s="267">
        <f>IF(AND(SUM($AQ$16:AQ42)&gt;0,SUM($AZ$16:AZ42)&lt;$P$62,$W43&gt;=$P$65),$P$64,0)</f>
        <v>0</v>
      </c>
      <c r="BA43" s="156">
        <f>IF(SUM($AQ$17:$AQ42)&gt;0,($P$62-SUM($AZ$17:$AZ42))*$F$65,0)</f>
        <v>0</v>
      </c>
      <c r="BB43" s="157">
        <f t="shared" si="23"/>
        <v>0</v>
      </c>
      <c r="BC43" s="153">
        <f t="shared" si="24"/>
        <v>0</v>
      </c>
      <c r="BD43" s="154">
        <f t="shared" si="25"/>
        <v>0</v>
      </c>
      <c r="BE43" s="48"/>
      <c r="BF43" s="46">
        <f t="shared" si="42"/>
        <v>0.40019958592890875</v>
      </c>
      <c r="BH43" s="152">
        <f t="shared" si="26"/>
        <v>0</v>
      </c>
      <c r="BI43" s="152">
        <f t="shared" si="27"/>
        <v>0</v>
      </c>
      <c r="BJ43" s="153">
        <f t="shared" si="28"/>
        <v>0</v>
      </c>
      <c r="BK43" s="153">
        <f t="shared" si="29"/>
        <v>0</v>
      </c>
      <c r="BL43" s="153">
        <f t="shared" si="30"/>
        <v>0</v>
      </c>
      <c r="BM43" s="153">
        <f t="shared" si="31"/>
        <v>0</v>
      </c>
      <c r="BN43" s="154">
        <f t="shared" si="32"/>
        <v>0</v>
      </c>
      <c r="BO43" s="153">
        <f t="shared" si="33"/>
        <v>0</v>
      </c>
      <c r="BP43" s="153">
        <f t="shared" si="34"/>
        <v>0</v>
      </c>
      <c r="BQ43" s="153">
        <f t="shared" si="35"/>
        <v>0</v>
      </c>
      <c r="BR43" s="153">
        <f t="shared" si="36"/>
        <v>0</v>
      </c>
      <c r="BS43" s="220">
        <f t="shared" si="37"/>
        <v>0</v>
      </c>
      <c r="BT43" s="153">
        <f t="array" ref="BT43">IF($W43&lt;=$O$16,_xlfn.IFS(W43&lt;$F$16,$P$92,W43=$F$16,$P$93,W43&gt;$F$16,$P$94),0)</f>
        <v>0</v>
      </c>
      <c r="BU43" s="154">
        <f t="shared" si="38"/>
        <v>0</v>
      </c>
      <c r="BV43" s="154">
        <f t="shared" si="39"/>
        <v>0</v>
      </c>
      <c r="BW43" s="150"/>
      <c r="BX43" s="155">
        <f t="shared" si="40"/>
        <v>0</v>
      </c>
      <c r="BY43" s="273">
        <f t="shared" si="43"/>
        <v>0</v>
      </c>
      <c r="CA43"/>
    </row>
    <row r="44" spans="2:79" ht="15.75" customHeight="1">
      <c r="C44" s="265" t="s">
        <v>130</v>
      </c>
      <c r="D44" t="s">
        <v>7</v>
      </c>
      <c r="E44" s="266"/>
      <c r="F44" s="187">
        <v>25</v>
      </c>
      <c r="K44" t="s">
        <v>131</v>
      </c>
      <c r="N44" s="19" t="s">
        <v>7</v>
      </c>
      <c r="O44" s="21">
        <f>O41*$F$17</f>
        <v>1000</v>
      </c>
      <c r="P44" s="21">
        <f>P43*$F$17</f>
        <v>950</v>
      </c>
      <c r="V44" s="57">
        <f t="shared" si="41"/>
        <v>55609</v>
      </c>
      <c r="W44" s="26">
        <v>28</v>
      </c>
      <c r="X44" s="269" t="str">
        <f t="shared" si="0"/>
        <v>-</v>
      </c>
      <c r="Y44" s="158">
        <f t="shared" si="1"/>
        <v>0</v>
      </c>
      <c r="Z44" s="156">
        <f t="shared" si="2"/>
        <v>0</v>
      </c>
      <c r="AA44" s="156">
        <f t="shared" si="3"/>
        <v>0</v>
      </c>
      <c r="AB44" s="156">
        <f t="shared" si="4"/>
        <v>0</v>
      </c>
      <c r="AC44" s="157">
        <f t="shared" si="5"/>
        <v>0</v>
      </c>
      <c r="AD44" s="158">
        <f t="shared" si="6"/>
        <v>0</v>
      </c>
      <c r="AE44" s="156">
        <f t="shared" si="7"/>
        <v>0</v>
      </c>
      <c r="AF44" s="156">
        <f t="shared" si="8"/>
        <v>0</v>
      </c>
      <c r="AG44" s="222">
        <f>IF(AND(SUM($AA$16:AA43)&gt;0,SUM($AG$16:AG43)&lt;$O$62,$W44&gt;=$O$65),$O$64,0)</f>
        <v>0</v>
      </c>
      <c r="AH44" s="220">
        <f>IF(SUM($AA$17:$AA43)&gt;0,($O$62-SUM($AG$17:$AG43))*$E$65,0)</f>
        <v>0</v>
      </c>
      <c r="AI44" s="157">
        <f t="shared" si="9"/>
        <v>0</v>
      </c>
      <c r="AJ44" s="153">
        <f t="shared" si="10"/>
        <v>0</v>
      </c>
      <c r="AK44" s="155">
        <f>(SUM($P$31,$P$51)-SUM($AU$17:AU43))*$O$109</f>
        <v>3.2969182939268646E-15</v>
      </c>
      <c r="AL44" s="160"/>
      <c r="AM44" s="154">
        <f t="shared" si="11"/>
        <v>0</v>
      </c>
      <c r="AN44" s="161"/>
      <c r="AO44" s="152">
        <f t="shared" si="12"/>
        <v>0</v>
      </c>
      <c r="AP44" s="153">
        <f t="shared" si="13"/>
        <v>0</v>
      </c>
      <c r="AQ44" s="153">
        <f t="shared" si="14"/>
        <v>0</v>
      </c>
      <c r="AR44" s="156">
        <f t="shared" si="15"/>
        <v>0</v>
      </c>
      <c r="AS44" s="157">
        <f t="shared" si="16"/>
        <v>0</v>
      </c>
      <c r="AT44" s="156">
        <f t="shared" si="17"/>
        <v>0</v>
      </c>
      <c r="AU44" s="156">
        <f t="shared" si="18"/>
        <v>0</v>
      </c>
      <c r="AV44" s="156">
        <f t="shared" si="19"/>
        <v>0</v>
      </c>
      <c r="AW44" s="156">
        <f t="shared" si="20"/>
        <v>0</v>
      </c>
      <c r="AX44" s="267">
        <f t="shared" si="21"/>
        <v>0</v>
      </c>
      <c r="AY44" s="268">
        <f t="shared" si="22"/>
        <v>0</v>
      </c>
      <c r="AZ44" s="267">
        <f>IF(AND(SUM($AQ$16:AQ43)&gt;0,SUM($AZ$16:AZ43)&lt;$P$62,$W44&gt;=$P$65),$P$64,0)</f>
        <v>0</v>
      </c>
      <c r="BA44" s="156">
        <f>IF(SUM($AQ$17:$AQ43)&gt;0,($P$62-SUM($AZ$17:$AZ43))*$F$65,0)</f>
        <v>0</v>
      </c>
      <c r="BB44" s="157">
        <f t="shared" si="23"/>
        <v>0</v>
      </c>
      <c r="BC44" s="153">
        <f t="shared" si="24"/>
        <v>0</v>
      </c>
      <c r="BD44" s="154">
        <f t="shared" si="25"/>
        <v>0</v>
      </c>
      <c r="BE44" s="48"/>
      <c r="BF44" s="46">
        <f t="shared" si="42"/>
        <v>0.38685315217874217</v>
      </c>
      <c r="BH44" s="152">
        <f t="shared" si="26"/>
        <v>0</v>
      </c>
      <c r="BI44" s="152">
        <f t="shared" si="27"/>
        <v>0</v>
      </c>
      <c r="BJ44" s="153">
        <f t="shared" si="28"/>
        <v>0</v>
      </c>
      <c r="BK44" s="153">
        <f t="shared" si="29"/>
        <v>0</v>
      </c>
      <c r="BL44" s="153">
        <f t="shared" si="30"/>
        <v>0</v>
      </c>
      <c r="BM44" s="153">
        <f t="shared" si="31"/>
        <v>0</v>
      </c>
      <c r="BN44" s="154">
        <f t="shared" si="32"/>
        <v>0</v>
      </c>
      <c r="BO44" s="153">
        <f t="shared" si="33"/>
        <v>0</v>
      </c>
      <c r="BP44" s="153">
        <f t="shared" si="34"/>
        <v>0</v>
      </c>
      <c r="BQ44" s="153">
        <f t="shared" si="35"/>
        <v>0</v>
      </c>
      <c r="BR44" s="153">
        <f t="shared" si="36"/>
        <v>0</v>
      </c>
      <c r="BS44" s="220">
        <f t="shared" si="37"/>
        <v>0</v>
      </c>
      <c r="BT44" s="153">
        <f t="array" ref="BT44">IF($W44&lt;=$O$16,_xlfn.IFS(W44&lt;$F$16,$P$92,W44=$F$16,$P$93,W44&gt;$F$16,$P$94),0)</f>
        <v>0</v>
      </c>
      <c r="BU44" s="154">
        <f t="shared" si="38"/>
        <v>0</v>
      </c>
      <c r="BV44" s="154">
        <f t="shared" si="39"/>
        <v>0</v>
      </c>
      <c r="BW44" s="150"/>
      <c r="BX44" s="155">
        <f t="shared" si="40"/>
        <v>0</v>
      </c>
      <c r="BY44" s="273">
        <f t="shared" si="43"/>
        <v>0</v>
      </c>
      <c r="CA44"/>
    </row>
    <row r="45" spans="2:79" ht="15.75" customHeight="1">
      <c r="C45" t="s">
        <v>132</v>
      </c>
      <c r="D45" t="s">
        <v>7</v>
      </c>
      <c r="E45" s="187">
        <v>10</v>
      </c>
      <c r="F45" s="187">
        <v>6</v>
      </c>
      <c r="V45" s="57">
        <f t="shared" si="41"/>
        <v>55974</v>
      </c>
      <c r="W45" s="26">
        <v>29</v>
      </c>
      <c r="X45" s="269" t="str">
        <f t="shared" si="0"/>
        <v>-</v>
      </c>
      <c r="Y45" s="158">
        <f t="shared" si="1"/>
        <v>0</v>
      </c>
      <c r="Z45" s="156">
        <f t="shared" si="2"/>
        <v>0</v>
      </c>
      <c r="AA45" s="156">
        <f t="shared" si="3"/>
        <v>0</v>
      </c>
      <c r="AB45" s="156">
        <f t="shared" si="4"/>
        <v>0</v>
      </c>
      <c r="AC45" s="157">
        <f t="shared" si="5"/>
        <v>0</v>
      </c>
      <c r="AD45" s="158">
        <f t="shared" si="6"/>
        <v>0</v>
      </c>
      <c r="AE45" s="156">
        <f t="shared" si="7"/>
        <v>0</v>
      </c>
      <c r="AF45" s="156">
        <f t="shared" si="8"/>
        <v>0</v>
      </c>
      <c r="AG45" s="222">
        <f>IF(AND(SUM($AA$16:AA44)&gt;0,SUM($AG$16:AG44)&lt;$O$62,$W45&gt;=$O$65),$O$64,0)</f>
        <v>0</v>
      </c>
      <c r="AH45" s="220">
        <f>IF(SUM($AA$17:$AA44)&gt;0,($O$62-SUM($AG$17:$AG44))*$E$65,0)</f>
        <v>0</v>
      </c>
      <c r="AI45" s="157">
        <f t="shared" si="9"/>
        <v>0</v>
      </c>
      <c r="AJ45" s="153">
        <f t="shared" si="10"/>
        <v>0</v>
      </c>
      <c r="AK45" s="155">
        <f>(SUM($P$31,$P$51)-SUM($AU$17:AU44))*$O$109</f>
        <v>3.2969182939268646E-15</v>
      </c>
      <c r="AL45" s="160"/>
      <c r="AM45" s="154">
        <f t="shared" si="11"/>
        <v>0</v>
      </c>
      <c r="AN45" s="161"/>
      <c r="AO45" s="152">
        <f t="shared" si="12"/>
        <v>0</v>
      </c>
      <c r="AP45" s="153">
        <f t="shared" si="13"/>
        <v>0</v>
      </c>
      <c r="AQ45" s="153">
        <f t="shared" si="14"/>
        <v>0</v>
      </c>
      <c r="AR45" s="156">
        <f t="shared" si="15"/>
        <v>0</v>
      </c>
      <c r="AS45" s="157">
        <f t="shared" si="16"/>
        <v>0</v>
      </c>
      <c r="AT45" s="156">
        <f t="shared" si="17"/>
        <v>0</v>
      </c>
      <c r="AU45" s="156">
        <f t="shared" si="18"/>
        <v>0</v>
      </c>
      <c r="AV45" s="156">
        <f t="shared" si="19"/>
        <v>0</v>
      </c>
      <c r="AW45" s="156">
        <f t="shared" si="20"/>
        <v>0</v>
      </c>
      <c r="AX45" s="267">
        <f t="shared" si="21"/>
        <v>0</v>
      </c>
      <c r="AY45" s="268">
        <f t="shared" si="22"/>
        <v>0</v>
      </c>
      <c r="AZ45" s="267">
        <f>IF(AND(SUM($AQ$16:AQ44)&gt;0,SUM($AZ$16:AZ44)&lt;$P$62,$W45&gt;=$P$65),$P$64,0)</f>
        <v>0</v>
      </c>
      <c r="BA45" s="156">
        <f>IF(SUM($AQ$17:$AQ44)&gt;0,($P$62-SUM($AZ$17:$AZ44))*$F$65,0)</f>
        <v>0</v>
      </c>
      <c r="BB45" s="157">
        <f t="shared" si="23"/>
        <v>0</v>
      </c>
      <c r="BC45" s="153">
        <f t="shared" si="24"/>
        <v>0</v>
      </c>
      <c r="BD45" s="154">
        <f t="shared" si="25"/>
        <v>0</v>
      </c>
      <c r="BE45" s="48"/>
      <c r="BF45" s="46">
        <f t="shared" si="42"/>
        <v>0.37395181457587451</v>
      </c>
      <c r="BH45" s="152">
        <f t="shared" si="26"/>
        <v>0</v>
      </c>
      <c r="BI45" s="152">
        <f t="shared" si="27"/>
        <v>0</v>
      </c>
      <c r="BJ45" s="153">
        <f t="shared" si="28"/>
        <v>0</v>
      </c>
      <c r="BK45" s="153">
        <f t="shared" si="29"/>
        <v>0</v>
      </c>
      <c r="BL45" s="153">
        <f t="shared" si="30"/>
        <v>0</v>
      </c>
      <c r="BM45" s="153">
        <f t="shared" si="31"/>
        <v>0</v>
      </c>
      <c r="BN45" s="154">
        <f t="shared" si="32"/>
        <v>0</v>
      </c>
      <c r="BO45" s="153">
        <f t="shared" si="33"/>
        <v>0</v>
      </c>
      <c r="BP45" s="153">
        <f t="shared" si="34"/>
        <v>0</v>
      </c>
      <c r="BQ45" s="153">
        <f t="shared" si="35"/>
        <v>0</v>
      </c>
      <c r="BR45" s="153">
        <f t="shared" si="36"/>
        <v>0</v>
      </c>
      <c r="BS45" s="220">
        <f t="shared" si="37"/>
        <v>0</v>
      </c>
      <c r="BT45" s="153">
        <f t="array" ref="BT45">IF($W45&lt;=$O$16,_xlfn.IFS(W45&lt;$F$16,$P$92,W45=$F$16,$P$93,W45&gt;$F$16,$P$94),0)</f>
        <v>0</v>
      </c>
      <c r="BU45" s="154">
        <f t="shared" si="38"/>
        <v>0</v>
      </c>
      <c r="BV45" s="154">
        <f t="shared" si="39"/>
        <v>0</v>
      </c>
      <c r="BW45" s="150"/>
      <c r="BX45" s="155">
        <f t="shared" si="40"/>
        <v>0</v>
      </c>
      <c r="BY45" s="273">
        <f t="shared" si="43"/>
        <v>0</v>
      </c>
      <c r="CA45"/>
    </row>
    <row r="46" spans="2:79" ht="15.75" customHeight="1">
      <c r="B46" t="s">
        <v>133</v>
      </c>
      <c r="J46" s="4" t="s">
        <v>134</v>
      </c>
      <c r="V46" s="57">
        <f t="shared" si="41"/>
        <v>56339</v>
      </c>
      <c r="W46" s="26">
        <v>30</v>
      </c>
      <c r="X46" s="269" t="str">
        <f t="shared" si="0"/>
        <v>-</v>
      </c>
      <c r="Y46" s="158">
        <f t="shared" si="1"/>
        <v>0</v>
      </c>
      <c r="Z46" s="156">
        <f t="shared" si="2"/>
        <v>0</v>
      </c>
      <c r="AA46" s="156">
        <f t="shared" si="3"/>
        <v>0</v>
      </c>
      <c r="AB46" s="156">
        <f t="shared" si="4"/>
        <v>0</v>
      </c>
      <c r="AC46" s="157">
        <f t="shared" si="5"/>
        <v>0</v>
      </c>
      <c r="AD46" s="158">
        <f t="shared" si="6"/>
        <v>0</v>
      </c>
      <c r="AE46" s="156">
        <f t="shared" si="7"/>
        <v>0</v>
      </c>
      <c r="AF46" s="156">
        <f t="shared" si="8"/>
        <v>0</v>
      </c>
      <c r="AG46" s="222">
        <f>IF(AND(SUM($AA$16:AA45)&gt;0,SUM($AG$16:AG45)&lt;$O$62,$W46&gt;=$O$65),$O$64,0)</f>
        <v>0</v>
      </c>
      <c r="AH46" s="220">
        <f>IF(SUM($AA$17:$AA45)&gt;0,($O$62-SUM($AG$17:$AG45))*$E$65,0)</f>
        <v>0</v>
      </c>
      <c r="AI46" s="157">
        <f t="shared" si="9"/>
        <v>0</v>
      </c>
      <c r="AJ46" s="153">
        <f t="shared" si="10"/>
        <v>0</v>
      </c>
      <c r="AK46" s="155">
        <f>(SUM($P$31,$P$51)-SUM($AU$17:AU45))*$O$109</f>
        <v>3.2969182939268646E-15</v>
      </c>
      <c r="AL46" s="160"/>
      <c r="AM46" s="154">
        <f t="shared" si="11"/>
        <v>0</v>
      </c>
      <c r="AN46" s="161"/>
      <c r="AO46" s="152">
        <f t="shared" si="12"/>
        <v>0</v>
      </c>
      <c r="AP46" s="153">
        <f t="shared" si="13"/>
        <v>0</v>
      </c>
      <c r="AQ46" s="153">
        <f t="shared" si="14"/>
        <v>0</v>
      </c>
      <c r="AR46" s="156">
        <f t="shared" si="15"/>
        <v>0</v>
      </c>
      <c r="AS46" s="157">
        <f t="shared" si="16"/>
        <v>0</v>
      </c>
      <c r="AT46" s="156">
        <f t="shared" si="17"/>
        <v>0</v>
      </c>
      <c r="AU46" s="156">
        <f t="shared" si="18"/>
        <v>0</v>
      </c>
      <c r="AV46" s="156">
        <f t="shared" si="19"/>
        <v>0</v>
      </c>
      <c r="AW46" s="156">
        <f t="shared" si="20"/>
        <v>0</v>
      </c>
      <c r="AX46" s="267">
        <f t="shared" si="21"/>
        <v>0</v>
      </c>
      <c r="AY46" s="268">
        <f t="shared" si="22"/>
        <v>0</v>
      </c>
      <c r="AZ46" s="267">
        <f>IF(AND(SUM($AQ$16:AQ45)&gt;0,SUM($AZ$16:AZ45)&lt;$P$62,$W46&gt;=$P$65),$P$64,0)</f>
        <v>0</v>
      </c>
      <c r="BA46" s="156">
        <f>IF(SUM($AQ$17:$AQ45)&gt;0,($P$62-SUM($AZ$17:$AZ45))*$F$65,0)</f>
        <v>0</v>
      </c>
      <c r="BB46" s="157">
        <f t="shared" si="23"/>
        <v>0</v>
      </c>
      <c r="BC46" s="153">
        <f t="shared" si="24"/>
        <v>0</v>
      </c>
      <c r="BD46" s="154">
        <f t="shared" si="25"/>
        <v>0</v>
      </c>
      <c r="BE46" s="48"/>
      <c r="BF46" s="47">
        <f t="shared" si="42"/>
        <v>0.36148072941118853</v>
      </c>
      <c r="BH46" s="152">
        <f t="shared" si="26"/>
        <v>0</v>
      </c>
      <c r="BI46" s="152">
        <f t="shared" si="27"/>
        <v>0</v>
      </c>
      <c r="BJ46" s="153">
        <f t="shared" si="28"/>
        <v>0</v>
      </c>
      <c r="BK46" s="153">
        <f t="shared" si="29"/>
        <v>0</v>
      </c>
      <c r="BL46" s="153">
        <f t="shared" si="30"/>
        <v>0</v>
      </c>
      <c r="BM46" s="156">
        <f t="shared" si="31"/>
        <v>0</v>
      </c>
      <c r="BN46" s="157">
        <f t="shared" si="32"/>
        <v>0</v>
      </c>
      <c r="BO46" s="153">
        <f t="shared" si="33"/>
        <v>0</v>
      </c>
      <c r="BP46" s="153">
        <f t="shared" si="34"/>
        <v>0</v>
      </c>
      <c r="BQ46" s="153">
        <f t="shared" si="35"/>
        <v>0</v>
      </c>
      <c r="BR46" s="153">
        <f t="shared" si="36"/>
        <v>0</v>
      </c>
      <c r="BS46" s="220">
        <f t="shared" si="37"/>
        <v>0</v>
      </c>
      <c r="BT46" s="153">
        <f t="array" ref="BT46">IF($W46&lt;=$O$16,_xlfn.IFS(W46&lt;$F$16,$P$92,W46=$F$16,$P$93,W46&gt;$F$16,$P$94),0)</f>
        <v>0</v>
      </c>
      <c r="BU46" s="157">
        <f t="shared" si="38"/>
        <v>0</v>
      </c>
      <c r="BV46" s="157">
        <f t="shared" si="39"/>
        <v>0</v>
      </c>
      <c r="BW46" s="150"/>
      <c r="BX46" s="155">
        <f t="shared" si="40"/>
        <v>0</v>
      </c>
      <c r="BY46" s="273">
        <f t="shared" si="43"/>
        <v>0</v>
      </c>
      <c r="CA46"/>
    </row>
    <row r="47" spans="2:79" ht="15.75" customHeight="1">
      <c r="F47" s="72">
        <v>1</v>
      </c>
      <c r="G47">
        <v>0</v>
      </c>
      <c r="H47" t="s">
        <v>135</v>
      </c>
      <c r="K47" t="s">
        <v>136</v>
      </c>
      <c r="V47" s="57">
        <f t="shared" si="41"/>
        <v>56704</v>
      </c>
      <c r="W47" s="26">
        <v>31</v>
      </c>
      <c r="X47" s="269" t="str">
        <f t="shared" si="0"/>
        <v>-</v>
      </c>
      <c r="Y47" s="158">
        <f t="shared" si="1"/>
        <v>0</v>
      </c>
      <c r="Z47" s="156">
        <f t="shared" si="2"/>
        <v>0</v>
      </c>
      <c r="AA47" s="156">
        <f t="shared" si="3"/>
        <v>0</v>
      </c>
      <c r="AB47" s="156">
        <f t="shared" si="4"/>
        <v>0</v>
      </c>
      <c r="AC47" s="157">
        <f t="shared" si="5"/>
        <v>0</v>
      </c>
      <c r="AD47" s="158">
        <f t="shared" si="6"/>
        <v>0</v>
      </c>
      <c r="AE47" s="156">
        <f t="shared" si="7"/>
        <v>0</v>
      </c>
      <c r="AF47" s="156">
        <f t="shared" si="8"/>
        <v>0</v>
      </c>
      <c r="AG47" s="222">
        <f>IF(AND(SUM($AA$16:AA46)&gt;0,SUM($AG$16:AG46)&lt;$O$62,$W47&gt;=$O$65),$O$64,0)</f>
        <v>0</v>
      </c>
      <c r="AH47" s="220">
        <f>IF(SUM($AA$17:$AA46)&gt;0,($O$62-SUM($AG$17:$AG46))*$E$65,0)</f>
        <v>0</v>
      </c>
      <c r="AI47" s="157">
        <f t="shared" si="9"/>
        <v>0</v>
      </c>
      <c r="AJ47" s="153">
        <f t="shared" si="10"/>
        <v>0</v>
      </c>
      <c r="AK47" s="155">
        <f>(SUM($P$31,$P$51)-SUM($AU$17:AU46))*$O$109</f>
        <v>3.2969182939268646E-15</v>
      </c>
      <c r="AL47" s="160"/>
      <c r="AM47" s="154">
        <f t="shared" si="11"/>
        <v>0</v>
      </c>
      <c r="AN47" s="161"/>
      <c r="AO47" s="152">
        <f t="shared" si="12"/>
        <v>0</v>
      </c>
      <c r="AP47" s="153">
        <f t="shared" si="13"/>
        <v>0</v>
      </c>
      <c r="AQ47" s="153">
        <f t="shared" si="14"/>
        <v>0</v>
      </c>
      <c r="AR47" s="156">
        <f t="shared" si="15"/>
        <v>0</v>
      </c>
      <c r="AS47" s="157">
        <f t="shared" si="16"/>
        <v>0</v>
      </c>
      <c r="AT47" s="156">
        <f t="shared" si="17"/>
        <v>0</v>
      </c>
      <c r="AU47" s="156">
        <f t="shared" si="18"/>
        <v>0</v>
      </c>
      <c r="AV47" s="156">
        <f t="shared" si="19"/>
        <v>0</v>
      </c>
      <c r="AW47" s="156">
        <f t="shared" si="20"/>
        <v>0</v>
      </c>
      <c r="AX47" s="267">
        <f t="shared" si="21"/>
        <v>0</v>
      </c>
      <c r="AY47" s="268">
        <f t="shared" si="22"/>
        <v>0</v>
      </c>
      <c r="AZ47" s="267">
        <f>IF(AND(SUM($AQ$16:AQ46)&gt;0,SUM($AZ$16:AZ46)&lt;$P$62,$W47&gt;=$P$65),$P$64,0)</f>
        <v>0</v>
      </c>
      <c r="BA47" s="156">
        <f>IF(SUM($AQ$17:$AQ46)&gt;0,($P$62-SUM($AZ$17:$AZ46))*$F$65,0)</f>
        <v>0</v>
      </c>
      <c r="BB47" s="157">
        <f t="shared" si="23"/>
        <v>0</v>
      </c>
      <c r="BC47" s="153">
        <f t="shared" si="24"/>
        <v>0</v>
      </c>
      <c r="BD47" s="154">
        <f t="shared" si="25"/>
        <v>0</v>
      </c>
      <c r="BE47" s="48"/>
      <c r="BF47" s="47">
        <f t="shared" si="42"/>
        <v>0.34942554800501552</v>
      </c>
      <c r="BH47" s="152">
        <f t="shared" si="26"/>
        <v>0</v>
      </c>
      <c r="BI47" s="152">
        <f t="shared" si="27"/>
        <v>0</v>
      </c>
      <c r="BJ47" s="153">
        <f t="shared" si="28"/>
        <v>0</v>
      </c>
      <c r="BK47" s="153">
        <f t="shared" si="29"/>
        <v>0</v>
      </c>
      <c r="BL47" s="153">
        <f t="shared" si="30"/>
        <v>0</v>
      </c>
      <c r="BM47" s="156">
        <f t="shared" si="31"/>
        <v>0</v>
      </c>
      <c r="BN47" s="157">
        <f t="shared" si="32"/>
        <v>0</v>
      </c>
      <c r="BO47" s="153">
        <f t="shared" si="33"/>
        <v>0</v>
      </c>
      <c r="BP47" s="153">
        <f t="shared" si="34"/>
        <v>0</v>
      </c>
      <c r="BQ47" s="153">
        <f t="shared" si="35"/>
        <v>0</v>
      </c>
      <c r="BR47" s="153">
        <f t="shared" si="36"/>
        <v>0</v>
      </c>
      <c r="BS47" s="220">
        <f t="shared" si="37"/>
        <v>0</v>
      </c>
      <c r="BT47" s="153">
        <f t="array" ref="BT47">IF($W47&lt;=$O$16,_xlfn.IFS(W47&lt;$F$16,$P$92,W47=$F$16,$P$93,W47&gt;$F$16,$P$94),0)</f>
        <v>0</v>
      </c>
      <c r="BU47" s="157">
        <f t="shared" si="38"/>
        <v>0</v>
      </c>
      <c r="BV47" s="157">
        <f t="shared" si="39"/>
        <v>0</v>
      </c>
      <c r="BW47" s="150"/>
      <c r="BX47" s="155">
        <f t="shared" si="40"/>
        <v>0</v>
      </c>
      <c r="BY47" s="273">
        <f t="shared" si="43"/>
        <v>0</v>
      </c>
      <c r="CA47"/>
    </row>
    <row r="48" spans="2:79" ht="15.75" customHeight="1">
      <c r="G48">
        <v>1</v>
      </c>
      <c r="H48" t="s">
        <v>137</v>
      </c>
      <c r="M48" t="s">
        <v>138</v>
      </c>
      <c r="N48" s="19" t="s">
        <v>7</v>
      </c>
      <c r="O48" s="52"/>
      <c r="P48" s="50">
        <f>F104</f>
        <v>100</v>
      </c>
      <c r="V48" s="57">
        <f t="shared" si="41"/>
        <v>57070</v>
      </c>
      <c r="W48" s="26">
        <v>32</v>
      </c>
      <c r="X48" s="269" t="str">
        <f t="shared" si="0"/>
        <v>-</v>
      </c>
      <c r="Y48" s="158">
        <f t="shared" si="1"/>
        <v>0</v>
      </c>
      <c r="Z48" s="156">
        <f t="shared" si="2"/>
        <v>0</v>
      </c>
      <c r="AA48" s="156">
        <f t="shared" si="3"/>
        <v>0</v>
      </c>
      <c r="AB48" s="156">
        <f t="shared" si="4"/>
        <v>0</v>
      </c>
      <c r="AC48" s="157">
        <f t="shared" si="5"/>
        <v>0</v>
      </c>
      <c r="AD48" s="158">
        <f t="shared" si="6"/>
        <v>0</v>
      </c>
      <c r="AE48" s="156">
        <f t="shared" si="7"/>
        <v>0</v>
      </c>
      <c r="AF48" s="156">
        <f t="shared" si="8"/>
        <v>0</v>
      </c>
      <c r="AG48" s="222">
        <f>IF(AND(SUM($AA$16:AA47)&gt;0,SUM($AG$16:AG47)&lt;$O$62,$W48&gt;=$O$65),$O$64,0)</f>
        <v>0</v>
      </c>
      <c r="AH48" s="220">
        <f>IF(SUM($AA$17:$AA47)&gt;0,($O$62-SUM($AG$17:$AG47))*$E$65,0)</f>
        <v>0</v>
      </c>
      <c r="AI48" s="157">
        <f t="shared" si="9"/>
        <v>0</v>
      </c>
      <c r="AJ48" s="153">
        <f t="shared" si="10"/>
        <v>0</v>
      </c>
      <c r="AK48" s="155">
        <f>(SUM($P$31,$P$51)-SUM($AU$17:AU47))*$O$109</f>
        <v>3.2969182939268646E-15</v>
      </c>
      <c r="AL48" s="160"/>
      <c r="AM48" s="154">
        <f t="shared" si="11"/>
        <v>0</v>
      </c>
      <c r="AN48" s="161"/>
      <c r="AO48" s="152">
        <f t="shared" si="12"/>
        <v>0</v>
      </c>
      <c r="AP48" s="153">
        <f t="shared" si="13"/>
        <v>0</v>
      </c>
      <c r="AQ48" s="153">
        <f t="shared" si="14"/>
        <v>0</v>
      </c>
      <c r="AR48" s="156">
        <f t="shared" si="15"/>
        <v>0</v>
      </c>
      <c r="AS48" s="157">
        <f t="shared" si="16"/>
        <v>0</v>
      </c>
      <c r="AT48" s="156">
        <f t="shared" si="17"/>
        <v>0</v>
      </c>
      <c r="AU48" s="156">
        <f t="shared" si="18"/>
        <v>0</v>
      </c>
      <c r="AV48" s="156">
        <f t="shared" si="19"/>
        <v>0</v>
      </c>
      <c r="AW48" s="156">
        <f t="shared" si="20"/>
        <v>0</v>
      </c>
      <c r="AX48" s="267">
        <f t="shared" si="21"/>
        <v>0</v>
      </c>
      <c r="AY48" s="268">
        <f t="shared" si="22"/>
        <v>0</v>
      </c>
      <c r="AZ48" s="267">
        <f>IF(AND(SUM($AQ$16:AQ47)&gt;0,SUM($AZ$16:AZ47)&lt;$P$62,$W48&gt;=$P$65),$P$64,0)</f>
        <v>0</v>
      </c>
      <c r="BA48" s="156">
        <f>IF(SUM($AQ$17:$AQ47)&gt;0,($P$62-SUM($AZ$17:$AZ47))*$F$65,0)</f>
        <v>0</v>
      </c>
      <c r="BB48" s="157">
        <f t="shared" si="23"/>
        <v>0</v>
      </c>
      <c r="BC48" s="153">
        <f t="shared" si="24"/>
        <v>0</v>
      </c>
      <c r="BD48" s="154">
        <f t="shared" si="25"/>
        <v>0</v>
      </c>
      <c r="BE48" s="48"/>
      <c r="BF48" s="47">
        <f t="shared" si="42"/>
        <v>0.33777240019817839</v>
      </c>
      <c r="BH48" s="152">
        <f t="shared" si="26"/>
        <v>0</v>
      </c>
      <c r="BI48" s="152">
        <f t="shared" si="27"/>
        <v>0</v>
      </c>
      <c r="BJ48" s="153">
        <f t="shared" si="28"/>
        <v>0</v>
      </c>
      <c r="BK48" s="153">
        <f t="shared" si="29"/>
        <v>0</v>
      </c>
      <c r="BL48" s="153">
        <f t="shared" si="30"/>
        <v>0</v>
      </c>
      <c r="BM48" s="156">
        <f t="shared" si="31"/>
        <v>0</v>
      </c>
      <c r="BN48" s="157">
        <f t="shared" si="32"/>
        <v>0</v>
      </c>
      <c r="BO48" s="153">
        <f t="shared" si="33"/>
        <v>0</v>
      </c>
      <c r="BP48" s="153">
        <f t="shared" si="34"/>
        <v>0</v>
      </c>
      <c r="BQ48" s="153">
        <f t="shared" si="35"/>
        <v>0</v>
      </c>
      <c r="BR48" s="153">
        <f t="shared" si="36"/>
        <v>0</v>
      </c>
      <c r="BS48" s="220">
        <f t="shared" si="37"/>
        <v>0</v>
      </c>
      <c r="BT48" s="153">
        <f t="array" ref="BT48">IF($W48&lt;=$O$16,_xlfn.IFS(W48&lt;$F$16,$P$92,W48=$F$16,$P$93,W48&gt;$F$16,$P$94),0)</f>
        <v>0</v>
      </c>
      <c r="BU48" s="157">
        <f t="shared" si="38"/>
        <v>0</v>
      </c>
      <c r="BV48" s="157">
        <f t="shared" si="39"/>
        <v>0</v>
      </c>
      <c r="BW48" s="150"/>
      <c r="BX48" s="155">
        <f t="shared" si="40"/>
        <v>0</v>
      </c>
      <c r="BY48" s="273">
        <f t="shared" si="43"/>
        <v>0</v>
      </c>
    </row>
    <row r="49" spans="1:77" ht="15.75" customHeight="1">
      <c r="B49" s="92" t="s">
        <v>139</v>
      </c>
      <c r="I49" s="19"/>
      <c r="M49" t="s">
        <v>140</v>
      </c>
      <c r="N49" s="19" t="s">
        <v>7</v>
      </c>
      <c r="O49" s="120"/>
      <c r="P49" s="121">
        <f>F105*$F$16</f>
        <v>36</v>
      </c>
      <c r="V49" s="57">
        <f t="shared" si="41"/>
        <v>57435</v>
      </c>
      <c r="W49" s="26">
        <v>33</v>
      </c>
      <c r="X49" s="269" t="str">
        <f t="shared" si="0"/>
        <v>-</v>
      </c>
      <c r="Y49" s="158">
        <f t="shared" si="1"/>
        <v>0</v>
      </c>
      <c r="Z49" s="156">
        <f t="shared" si="2"/>
        <v>0</v>
      </c>
      <c r="AA49" s="156">
        <f t="shared" si="3"/>
        <v>0</v>
      </c>
      <c r="AB49" s="156">
        <f t="shared" si="4"/>
        <v>0</v>
      </c>
      <c r="AC49" s="157">
        <f t="shared" si="5"/>
        <v>0</v>
      </c>
      <c r="AD49" s="158">
        <f t="shared" si="6"/>
        <v>0</v>
      </c>
      <c r="AE49" s="156">
        <f t="shared" si="7"/>
        <v>0</v>
      </c>
      <c r="AF49" s="156">
        <f t="shared" si="8"/>
        <v>0</v>
      </c>
      <c r="AG49" s="222">
        <f>IF(AND(SUM($AA$16:AA48)&gt;0,SUM($AG$16:AG48)&lt;$O$62,$W49&gt;=$O$65),$O$64,0)</f>
        <v>0</v>
      </c>
      <c r="AH49" s="220">
        <f>IF(SUM($AA$17:$AA48)&gt;0,($O$62-SUM($AG$17:$AG48))*$E$65,0)</f>
        <v>0</v>
      </c>
      <c r="AI49" s="157">
        <f t="shared" si="9"/>
        <v>0</v>
      </c>
      <c r="AJ49" s="153">
        <f t="shared" si="10"/>
        <v>0</v>
      </c>
      <c r="AK49" s="155">
        <f>(SUM($P$31,$P$51)-SUM($AU$17:AU48))*$O$109</f>
        <v>3.2969182939268646E-15</v>
      </c>
      <c r="AL49" s="160"/>
      <c r="AM49" s="154">
        <f t="shared" si="11"/>
        <v>0</v>
      </c>
      <c r="AN49" s="161"/>
      <c r="AO49" s="152">
        <f t="shared" si="12"/>
        <v>0</v>
      </c>
      <c r="AP49" s="153">
        <f t="shared" si="13"/>
        <v>0</v>
      </c>
      <c r="AQ49" s="153">
        <f t="shared" si="14"/>
        <v>0</v>
      </c>
      <c r="AR49" s="156">
        <f t="shared" si="15"/>
        <v>0</v>
      </c>
      <c r="AS49" s="157">
        <f t="shared" si="16"/>
        <v>0</v>
      </c>
      <c r="AT49" s="156">
        <f t="shared" si="17"/>
        <v>0</v>
      </c>
      <c r="AU49" s="156">
        <f t="shared" si="18"/>
        <v>0</v>
      </c>
      <c r="AV49" s="156">
        <f t="shared" si="19"/>
        <v>0</v>
      </c>
      <c r="AW49" s="156">
        <f t="shared" si="20"/>
        <v>0</v>
      </c>
      <c r="AX49" s="267">
        <f t="shared" si="21"/>
        <v>0</v>
      </c>
      <c r="AY49" s="268">
        <f t="shared" si="22"/>
        <v>0</v>
      </c>
      <c r="AZ49" s="267">
        <f>IF(AND(SUM($AQ$16:AQ48)&gt;0,SUM($AZ$16:AZ48)&lt;$P$62,$W49&gt;=$P$65),$P$64,0)</f>
        <v>0</v>
      </c>
      <c r="BA49" s="156">
        <f>IF(SUM($AQ$17:$AQ48)&gt;0,($P$62-SUM($AZ$17:$AZ48))*$F$65,0)</f>
        <v>0</v>
      </c>
      <c r="BB49" s="157">
        <f t="shared" si="23"/>
        <v>0</v>
      </c>
      <c r="BC49" s="153">
        <f t="shared" si="24"/>
        <v>0</v>
      </c>
      <c r="BD49" s="154">
        <f t="shared" si="25"/>
        <v>0</v>
      </c>
      <c r="BE49" s="48"/>
      <c r="BF49" s="47">
        <f t="shared" si="42"/>
        <v>0.32650787839359924</v>
      </c>
      <c r="BH49" s="152">
        <f t="shared" si="26"/>
        <v>0</v>
      </c>
      <c r="BI49" s="152">
        <f t="shared" si="27"/>
        <v>0</v>
      </c>
      <c r="BJ49" s="153">
        <f t="shared" si="28"/>
        <v>0</v>
      </c>
      <c r="BK49" s="153">
        <f t="shared" si="29"/>
        <v>0</v>
      </c>
      <c r="BL49" s="153">
        <f t="shared" si="30"/>
        <v>0</v>
      </c>
      <c r="BM49" s="156">
        <f t="shared" si="31"/>
        <v>0</v>
      </c>
      <c r="BN49" s="157">
        <f t="shared" si="32"/>
        <v>0</v>
      </c>
      <c r="BO49" s="153">
        <f t="shared" si="33"/>
        <v>0</v>
      </c>
      <c r="BP49" s="153">
        <f t="shared" si="34"/>
        <v>0</v>
      </c>
      <c r="BQ49" s="153">
        <f t="shared" si="35"/>
        <v>0</v>
      </c>
      <c r="BR49" s="153">
        <f t="shared" si="36"/>
        <v>0</v>
      </c>
      <c r="BS49" s="220">
        <f t="shared" si="37"/>
        <v>0</v>
      </c>
      <c r="BT49" s="153">
        <f t="array" ref="BT49">IF($W49&lt;=$O$16,_xlfn.IFS(W49&lt;$F$16,$P$92,W49=$F$16,$P$93,W49&gt;$F$16,$P$94),0)</f>
        <v>0</v>
      </c>
      <c r="BU49" s="157">
        <f t="shared" si="38"/>
        <v>0</v>
      </c>
      <c r="BV49" s="157">
        <f t="shared" si="39"/>
        <v>0</v>
      </c>
      <c r="BW49" s="150"/>
      <c r="BX49" s="155">
        <f t="shared" si="40"/>
        <v>0</v>
      </c>
      <c r="BY49" s="273">
        <f t="shared" si="43"/>
        <v>0</v>
      </c>
    </row>
    <row r="50" spans="1:77" ht="15.75" customHeight="1" thickBot="1">
      <c r="C50" s="55" t="s">
        <v>141</v>
      </c>
      <c r="D50" t="s">
        <v>38</v>
      </c>
      <c r="F50" s="258">
        <v>0.95</v>
      </c>
      <c r="H50" s="55" t="s">
        <v>142</v>
      </c>
      <c r="M50" t="s">
        <v>143</v>
      </c>
      <c r="N50" s="19" t="s">
        <v>7</v>
      </c>
      <c r="O50" s="120"/>
      <c r="P50" s="121">
        <f>SUM(P82,P86)+P92</f>
        <v>105.78</v>
      </c>
      <c r="Q50" t="s">
        <v>144</v>
      </c>
      <c r="V50" s="57">
        <f t="shared" si="41"/>
        <v>57800</v>
      </c>
      <c r="W50" s="26">
        <v>34</v>
      </c>
      <c r="X50" s="269" t="str">
        <f t="shared" si="0"/>
        <v>-</v>
      </c>
      <c r="Y50" s="158">
        <f t="shared" si="1"/>
        <v>0</v>
      </c>
      <c r="Z50" s="156">
        <f t="shared" si="2"/>
        <v>0</v>
      </c>
      <c r="AA50" s="156">
        <f t="shared" si="3"/>
        <v>0</v>
      </c>
      <c r="AB50" s="156">
        <f t="shared" si="4"/>
        <v>0</v>
      </c>
      <c r="AC50" s="157">
        <f t="shared" si="5"/>
        <v>0</v>
      </c>
      <c r="AD50" s="158">
        <f t="shared" si="6"/>
        <v>0</v>
      </c>
      <c r="AE50" s="156">
        <f t="shared" si="7"/>
        <v>0</v>
      </c>
      <c r="AF50" s="156">
        <f t="shared" si="8"/>
        <v>0</v>
      </c>
      <c r="AG50" s="222">
        <f>IF(AND(SUM($AA$16:AA49)&gt;0,SUM($AG$16:AG49)&lt;$O$62,$W50&gt;=$O$65),$O$64,0)</f>
        <v>0</v>
      </c>
      <c r="AH50" s="220">
        <f>IF(SUM($AA$17:$AA49)&gt;0,($O$62-SUM($AG$17:$AG49))*$E$65,0)</f>
        <v>0</v>
      </c>
      <c r="AI50" s="157">
        <f t="shared" si="9"/>
        <v>0</v>
      </c>
      <c r="AJ50" s="153">
        <f t="shared" si="10"/>
        <v>0</v>
      </c>
      <c r="AK50" s="155">
        <f>(SUM($P$31,$P$51)-SUM($AU$17:AU49))*$O$109</f>
        <v>3.2969182939268646E-15</v>
      </c>
      <c r="AL50" s="160"/>
      <c r="AM50" s="154">
        <f t="shared" si="11"/>
        <v>0</v>
      </c>
      <c r="AN50" s="161"/>
      <c r="AO50" s="152">
        <f t="shared" si="12"/>
        <v>0</v>
      </c>
      <c r="AP50" s="153">
        <f t="shared" si="13"/>
        <v>0</v>
      </c>
      <c r="AQ50" s="153">
        <f t="shared" si="14"/>
        <v>0</v>
      </c>
      <c r="AR50" s="156">
        <f t="shared" si="15"/>
        <v>0</v>
      </c>
      <c r="AS50" s="157">
        <f t="shared" si="16"/>
        <v>0</v>
      </c>
      <c r="AT50" s="156">
        <f t="shared" si="17"/>
        <v>0</v>
      </c>
      <c r="AU50" s="156">
        <f t="shared" si="18"/>
        <v>0</v>
      </c>
      <c r="AV50" s="156">
        <f t="shared" si="19"/>
        <v>0</v>
      </c>
      <c r="AW50" s="156">
        <f t="shared" si="20"/>
        <v>0</v>
      </c>
      <c r="AX50" s="267">
        <f t="shared" si="21"/>
        <v>0</v>
      </c>
      <c r="AY50" s="268">
        <f t="shared" si="22"/>
        <v>0</v>
      </c>
      <c r="AZ50" s="267">
        <f>IF(AND(SUM($AQ$16:AQ49)&gt;0,SUM($AZ$16:AZ49)&lt;$P$62,$W50&gt;=$P$65),$P$64,0)</f>
        <v>0</v>
      </c>
      <c r="BA50" s="156">
        <f>IF(SUM($AQ$17:$AQ49)&gt;0,($P$62-SUM($AZ$17:$AZ49))*$F$65,0)</f>
        <v>0</v>
      </c>
      <c r="BB50" s="157">
        <f t="shared" si="23"/>
        <v>0</v>
      </c>
      <c r="BC50" s="153">
        <f t="shared" si="24"/>
        <v>0</v>
      </c>
      <c r="BD50" s="154">
        <f t="shared" si="25"/>
        <v>0</v>
      </c>
      <c r="BE50" s="48"/>
      <c r="BF50" s="47">
        <f t="shared" si="42"/>
        <v>0.31561902213011045</v>
      </c>
      <c r="BH50" s="152">
        <f t="shared" si="26"/>
        <v>0</v>
      </c>
      <c r="BI50" s="152">
        <f t="shared" si="27"/>
        <v>0</v>
      </c>
      <c r="BJ50" s="153">
        <f t="shared" si="28"/>
        <v>0</v>
      </c>
      <c r="BK50" s="153">
        <f t="shared" si="29"/>
        <v>0</v>
      </c>
      <c r="BL50" s="153">
        <f t="shared" si="30"/>
        <v>0</v>
      </c>
      <c r="BM50" s="156">
        <f t="shared" si="31"/>
        <v>0</v>
      </c>
      <c r="BN50" s="157">
        <f t="shared" si="32"/>
        <v>0</v>
      </c>
      <c r="BO50" s="153">
        <f t="shared" si="33"/>
        <v>0</v>
      </c>
      <c r="BP50" s="153">
        <f t="shared" si="34"/>
        <v>0</v>
      </c>
      <c r="BQ50" s="153">
        <f t="shared" si="35"/>
        <v>0</v>
      </c>
      <c r="BR50" s="153">
        <f t="shared" si="36"/>
        <v>0</v>
      </c>
      <c r="BS50" s="220">
        <f t="shared" si="37"/>
        <v>0</v>
      </c>
      <c r="BT50" s="153">
        <f t="array" ref="BT50">IF($W50&lt;=$O$16,_xlfn.IFS(W50&lt;$F$16,$P$92,W50=$F$16,$P$93,W50&gt;$F$16,$P$94),0)</f>
        <v>0</v>
      </c>
      <c r="BU50" s="157">
        <f t="shared" si="38"/>
        <v>0</v>
      </c>
      <c r="BV50" s="157">
        <f t="shared" si="39"/>
        <v>0</v>
      </c>
      <c r="BW50" s="150"/>
      <c r="BX50" s="155">
        <f t="shared" si="40"/>
        <v>0</v>
      </c>
      <c r="BY50" s="273">
        <f t="shared" si="43"/>
        <v>0</v>
      </c>
    </row>
    <row r="51" spans="1:77" ht="15.75" customHeight="1" thickBot="1">
      <c r="B51" s="55"/>
      <c r="C51" s="55" t="s">
        <v>145</v>
      </c>
      <c r="D51" t="s">
        <v>38</v>
      </c>
      <c r="F51" s="194">
        <f>事業費用概算!I32</f>
        <v>0.05</v>
      </c>
      <c r="K51" s="122" t="s">
        <v>147</v>
      </c>
      <c r="L51" s="123"/>
      <c r="M51" s="123"/>
      <c r="N51" s="124" t="s">
        <v>7</v>
      </c>
      <c r="O51" s="125"/>
      <c r="P51" s="126">
        <f>SUM(P48:P50)*$F$47</f>
        <v>241.78</v>
      </c>
      <c r="Q51" t="s">
        <v>148</v>
      </c>
      <c r="V51" s="57">
        <f t="shared" si="41"/>
        <v>58165</v>
      </c>
      <c r="W51" s="26">
        <v>35</v>
      </c>
      <c r="X51" s="269" t="str">
        <f t="shared" si="0"/>
        <v>-</v>
      </c>
      <c r="Y51" s="158">
        <f t="shared" si="1"/>
        <v>0</v>
      </c>
      <c r="Z51" s="156">
        <f t="shared" si="2"/>
        <v>0</v>
      </c>
      <c r="AA51" s="156">
        <f t="shared" si="3"/>
        <v>0</v>
      </c>
      <c r="AB51" s="156">
        <f t="shared" si="4"/>
        <v>0</v>
      </c>
      <c r="AC51" s="157">
        <f t="shared" si="5"/>
        <v>0</v>
      </c>
      <c r="AD51" s="158">
        <f t="shared" si="6"/>
        <v>0</v>
      </c>
      <c r="AE51" s="156">
        <f t="shared" si="7"/>
        <v>0</v>
      </c>
      <c r="AF51" s="156">
        <f t="shared" si="8"/>
        <v>0</v>
      </c>
      <c r="AG51" s="222">
        <f>IF(AND(SUM($AA$16:AA50)&gt;0,SUM($AG$16:AG50)&lt;$O$62,$W51&gt;=$O$65),$O$64,0)</f>
        <v>0</v>
      </c>
      <c r="AH51" s="220">
        <f>IF(SUM($AA$17:$AA50)&gt;0,($O$62-SUM($AG$17:$AG50))*$E$65,0)</f>
        <v>0</v>
      </c>
      <c r="AI51" s="157">
        <f t="shared" si="9"/>
        <v>0</v>
      </c>
      <c r="AJ51" s="153">
        <f t="shared" si="10"/>
        <v>0</v>
      </c>
      <c r="AK51" s="155">
        <f>(SUM($P$31,$P$51)-SUM($AU$17:AU50))*$O$109</f>
        <v>3.2969182939268646E-15</v>
      </c>
      <c r="AL51" s="160"/>
      <c r="AM51" s="154">
        <f t="shared" si="11"/>
        <v>0</v>
      </c>
      <c r="AN51" s="161"/>
      <c r="AO51" s="152">
        <f t="shared" si="12"/>
        <v>0</v>
      </c>
      <c r="AP51" s="153">
        <f t="shared" si="13"/>
        <v>0</v>
      </c>
      <c r="AQ51" s="153">
        <f t="shared" si="14"/>
        <v>0</v>
      </c>
      <c r="AR51" s="156">
        <f t="shared" si="15"/>
        <v>0</v>
      </c>
      <c r="AS51" s="157">
        <f t="shared" si="16"/>
        <v>0</v>
      </c>
      <c r="AT51" s="156">
        <f t="shared" si="17"/>
        <v>0</v>
      </c>
      <c r="AU51" s="156">
        <f t="shared" si="18"/>
        <v>0</v>
      </c>
      <c r="AV51" s="156">
        <f t="shared" si="19"/>
        <v>0</v>
      </c>
      <c r="AW51" s="156">
        <f t="shared" si="20"/>
        <v>0</v>
      </c>
      <c r="AX51" s="267">
        <f t="shared" si="21"/>
        <v>0</v>
      </c>
      <c r="AY51" s="268">
        <f t="shared" si="22"/>
        <v>0</v>
      </c>
      <c r="AZ51" s="267">
        <f>IF(AND(SUM($AQ$16:AQ50)&gt;0,SUM($AZ$16:AZ50)&lt;$P$62,$W51&gt;=$P$65),$P$64,0)</f>
        <v>0</v>
      </c>
      <c r="BA51" s="156">
        <f>IF(SUM($AQ$17:$AQ50)&gt;0,($P$62-SUM($AZ$17:$AZ50))*$F$65,0)</f>
        <v>0</v>
      </c>
      <c r="BB51" s="157">
        <f t="shared" si="23"/>
        <v>0</v>
      </c>
      <c r="BC51" s="153">
        <f t="shared" si="24"/>
        <v>0</v>
      </c>
      <c r="BD51" s="154">
        <f t="shared" si="25"/>
        <v>0</v>
      </c>
      <c r="BE51" s="48"/>
      <c r="BF51" s="47">
        <f t="shared" si="42"/>
        <v>0.30509330317072059</v>
      </c>
      <c r="BH51" s="152">
        <f t="shared" si="26"/>
        <v>0</v>
      </c>
      <c r="BI51" s="152">
        <f t="shared" si="27"/>
        <v>0</v>
      </c>
      <c r="BJ51" s="153">
        <f t="shared" si="28"/>
        <v>0</v>
      </c>
      <c r="BK51" s="153">
        <f t="shared" si="29"/>
        <v>0</v>
      </c>
      <c r="BL51" s="153">
        <f t="shared" si="30"/>
        <v>0</v>
      </c>
      <c r="BM51" s="156">
        <f t="shared" si="31"/>
        <v>0</v>
      </c>
      <c r="BN51" s="157">
        <f t="shared" si="32"/>
        <v>0</v>
      </c>
      <c r="BO51" s="153">
        <f t="shared" si="33"/>
        <v>0</v>
      </c>
      <c r="BP51" s="153">
        <f t="shared" si="34"/>
        <v>0</v>
      </c>
      <c r="BQ51" s="153">
        <f t="shared" si="35"/>
        <v>0</v>
      </c>
      <c r="BR51" s="153">
        <f t="shared" si="36"/>
        <v>0</v>
      </c>
      <c r="BS51" s="220">
        <f t="shared" si="37"/>
        <v>0</v>
      </c>
      <c r="BT51" s="153">
        <f t="array" ref="BT51">IF($W51&lt;=$O$16,_xlfn.IFS(W51&lt;$F$16,$P$92,W51=$F$16,$P$93,W51&gt;$F$16,$P$94),0)</f>
        <v>0</v>
      </c>
      <c r="BU51" s="157">
        <f t="shared" si="38"/>
        <v>0</v>
      </c>
      <c r="BV51" s="157">
        <f t="shared" si="39"/>
        <v>0</v>
      </c>
      <c r="BW51" s="150"/>
      <c r="BX51" s="155">
        <f t="shared" si="40"/>
        <v>0</v>
      </c>
      <c r="BY51" s="273">
        <f t="shared" si="43"/>
        <v>0</v>
      </c>
    </row>
    <row r="52" spans="1:77" ht="15.75" customHeight="1">
      <c r="B52" s="55"/>
      <c r="C52" s="55" t="s">
        <v>149</v>
      </c>
      <c r="D52" t="s">
        <v>38</v>
      </c>
      <c r="F52" s="194">
        <f>事業費用概算!I33</f>
        <v>0.05</v>
      </c>
      <c r="M52" t="s">
        <v>150</v>
      </c>
      <c r="N52" s="19" t="s">
        <v>7</v>
      </c>
      <c r="O52" s="127"/>
      <c r="P52" s="128">
        <f>F105</f>
        <v>12</v>
      </c>
      <c r="V52" s="57">
        <f t="shared" si="41"/>
        <v>58531</v>
      </c>
      <c r="W52" s="26">
        <v>36</v>
      </c>
      <c r="X52" s="269" t="str">
        <f t="shared" si="0"/>
        <v>-</v>
      </c>
      <c r="Y52" s="158">
        <f t="shared" si="1"/>
        <v>0</v>
      </c>
      <c r="Z52" s="156">
        <f t="shared" si="2"/>
        <v>0</v>
      </c>
      <c r="AA52" s="156">
        <f t="shared" si="3"/>
        <v>0</v>
      </c>
      <c r="AB52" s="156">
        <f t="shared" si="4"/>
        <v>0</v>
      </c>
      <c r="AC52" s="157">
        <f t="shared" si="5"/>
        <v>0</v>
      </c>
      <c r="AD52" s="158">
        <f t="shared" si="6"/>
        <v>0</v>
      </c>
      <c r="AE52" s="156">
        <f t="shared" si="7"/>
        <v>0</v>
      </c>
      <c r="AF52" s="156">
        <f t="shared" si="8"/>
        <v>0</v>
      </c>
      <c r="AG52" s="222">
        <f>IF(AND(SUM($AA$16:AA51)&gt;0,SUM($AG$16:AG51)&lt;$O$62,$W52&gt;=$O$65),$O$64,0)</f>
        <v>0</v>
      </c>
      <c r="AH52" s="220">
        <f>IF(SUM($AA$17:$AA51)&gt;0,($O$62-SUM($AG$17:$AG51))*$E$65,0)</f>
        <v>0</v>
      </c>
      <c r="AI52" s="157">
        <f t="shared" si="9"/>
        <v>0</v>
      </c>
      <c r="AJ52" s="153">
        <f t="shared" si="10"/>
        <v>0</v>
      </c>
      <c r="AK52" s="155">
        <f>(SUM($P$31,$P$51)-SUM($AU$17:AU51))*$O$109</f>
        <v>3.2969182939268646E-15</v>
      </c>
      <c r="AL52" s="160"/>
      <c r="AM52" s="154">
        <f t="shared" si="11"/>
        <v>0</v>
      </c>
      <c r="AN52" s="161"/>
      <c r="AO52" s="152">
        <f t="shared" si="12"/>
        <v>0</v>
      </c>
      <c r="AP52" s="153">
        <f t="shared" si="13"/>
        <v>0</v>
      </c>
      <c r="AQ52" s="153">
        <f t="shared" si="14"/>
        <v>0</v>
      </c>
      <c r="AR52" s="156">
        <f t="shared" si="15"/>
        <v>0</v>
      </c>
      <c r="AS52" s="157">
        <f t="shared" si="16"/>
        <v>0</v>
      </c>
      <c r="AT52" s="156">
        <f t="shared" si="17"/>
        <v>0</v>
      </c>
      <c r="AU52" s="156">
        <f t="shared" si="18"/>
        <v>0</v>
      </c>
      <c r="AV52" s="156">
        <f t="shared" si="19"/>
        <v>0</v>
      </c>
      <c r="AW52" s="156">
        <f t="shared" si="20"/>
        <v>0</v>
      </c>
      <c r="AX52" s="267">
        <f t="shared" si="21"/>
        <v>0</v>
      </c>
      <c r="AY52" s="268">
        <f t="shared" si="22"/>
        <v>0</v>
      </c>
      <c r="AZ52" s="267">
        <f>IF(AND(SUM($AQ$16:AQ51)&gt;0,SUM($AZ$16:AZ51)&lt;$P$62,$W52&gt;=$P$65),$P$64,0)</f>
        <v>0</v>
      </c>
      <c r="BA52" s="156">
        <f>IF(SUM($AQ$17:$AQ51)&gt;0,($P$62-SUM($AZ$17:$AZ51))*$F$65,0)</f>
        <v>0</v>
      </c>
      <c r="BB52" s="157">
        <f t="shared" si="23"/>
        <v>0</v>
      </c>
      <c r="BC52" s="153">
        <f t="shared" si="24"/>
        <v>0</v>
      </c>
      <c r="BD52" s="154">
        <f t="shared" si="25"/>
        <v>0</v>
      </c>
      <c r="BE52" s="48"/>
      <c r="BF52" s="47">
        <f t="shared" si="42"/>
        <v>0.29491861108817846</v>
      </c>
      <c r="BH52" s="152">
        <f t="shared" si="26"/>
        <v>0</v>
      </c>
      <c r="BI52" s="152">
        <f t="shared" si="27"/>
        <v>0</v>
      </c>
      <c r="BJ52" s="153">
        <f t="shared" si="28"/>
        <v>0</v>
      </c>
      <c r="BK52" s="153">
        <f t="shared" si="29"/>
        <v>0</v>
      </c>
      <c r="BL52" s="153">
        <f t="shared" si="30"/>
        <v>0</v>
      </c>
      <c r="BM52" s="156">
        <f t="shared" si="31"/>
        <v>0</v>
      </c>
      <c r="BN52" s="157">
        <f t="shared" si="32"/>
        <v>0</v>
      </c>
      <c r="BO52" s="153">
        <f t="shared" si="33"/>
        <v>0</v>
      </c>
      <c r="BP52" s="153">
        <f t="shared" si="34"/>
        <v>0</v>
      </c>
      <c r="BQ52" s="153">
        <f t="shared" si="35"/>
        <v>0</v>
      </c>
      <c r="BR52" s="153">
        <f t="shared" si="36"/>
        <v>0</v>
      </c>
      <c r="BS52" s="220">
        <f t="shared" si="37"/>
        <v>0</v>
      </c>
      <c r="BT52" s="153">
        <f t="array" ref="BT52">IF($W52&lt;=$O$16,_xlfn.IFS(W52&lt;$F$16,$P$92,W52=$F$16,$P$93,W52&gt;$F$16,$P$94),0)</f>
        <v>0</v>
      </c>
      <c r="BU52" s="157">
        <f t="shared" si="38"/>
        <v>0</v>
      </c>
      <c r="BV52" s="157">
        <f t="shared" si="39"/>
        <v>0</v>
      </c>
      <c r="BW52" s="150"/>
      <c r="BX52" s="155">
        <f t="shared" si="40"/>
        <v>0</v>
      </c>
      <c r="BY52" s="273">
        <f t="shared" si="43"/>
        <v>0</v>
      </c>
    </row>
    <row r="53" spans="1:77" ht="15.75" customHeight="1" thickBot="1">
      <c r="M53" t="s">
        <v>151</v>
      </c>
      <c r="N53" s="19" t="s">
        <v>7</v>
      </c>
      <c r="O53" s="127"/>
      <c r="P53" s="214">
        <f>P94</f>
        <v>33.78</v>
      </c>
      <c r="V53" s="57">
        <f t="shared" si="41"/>
        <v>58896</v>
      </c>
      <c r="W53" s="26">
        <v>37</v>
      </c>
      <c r="X53" s="269" t="str">
        <f t="shared" si="0"/>
        <v>-</v>
      </c>
      <c r="Y53" s="158">
        <f t="shared" si="1"/>
        <v>0</v>
      </c>
      <c r="Z53" s="156">
        <f t="shared" si="2"/>
        <v>0</v>
      </c>
      <c r="AA53" s="156">
        <f t="shared" si="3"/>
        <v>0</v>
      </c>
      <c r="AB53" s="156">
        <f t="shared" si="4"/>
        <v>0</v>
      </c>
      <c r="AC53" s="157">
        <f t="shared" si="5"/>
        <v>0</v>
      </c>
      <c r="AD53" s="158">
        <f t="shared" si="6"/>
        <v>0</v>
      </c>
      <c r="AE53" s="156">
        <f t="shared" si="7"/>
        <v>0</v>
      </c>
      <c r="AF53" s="156">
        <f t="shared" si="8"/>
        <v>0</v>
      </c>
      <c r="AG53" s="222">
        <f>IF(AND(SUM($AA$16:AA52)&gt;0,SUM($AG$16:AG52)&lt;$O$62,$W53&gt;=$O$65),$O$64,0)</f>
        <v>0</v>
      </c>
      <c r="AH53" s="220">
        <f>IF(SUM($AA$17:$AA52)&gt;0,($O$62-SUM($AG$17:$AG52))*$E$65,0)</f>
        <v>0</v>
      </c>
      <c r="AI53" s="157">
        <f t="shared" si="9"/>
        <v>0</v>
      </c>
      <c r="AJ53" s="153">
        <f t="shared" si="10"/>
        <v>0</v>
      </c>
      <c r="AK53" s="155">
        <f>(SUM($P$31,$P$51)-SUM($AU$17:AU52))*$O$109</f>
        <v>3.2969182939268646E-15</v>
      </c>
      <c r="AL53" s="160"/>
      <c r="AM53" s="154">
        <f t="shared" si="11"/>
        <v>0</v>
      </c>
      <c r="AN53" s="161"/>
      <c r="AO53" s="152">
        <f t="shared" si="12"/>
        <v>0</v>
      </c>
      <c r="AP53" s="153">
        <f t="shared" si="13"/>
        <v>0</v>
      </c>
      <c r="AQ53" s="153">
        <f t="shared" si="14"/>
        <v>0</v>
      </c>
      <c r="AR53" s="156">
        <f t="shared" si="15"/>
        <v>0</v>
      </c>
      <c r="AS53" s="157">
        <f t="shared" si="16"/>
        <v>0</v>
      </c>
      <c r="AT53" s="156">
        <f t="shared" si="17"/>
        <v>0</v>
      </c>
      <c r="AU53" s="156">
        <f t="shared" si="18"/>
        <v>0</v>
      </c>
      <c r="AV53" s="156">
        <f t="shared" si="19"/>
        <v>0</v>
      </c>
      <c r="AW53" s="156">
        <f t="shared" si="20"/>
        <v>0</v>
      </c>
      <c r="AX53" s="267">
        <f t="shared" si="21"/>
        <v>0</v>
      </c>
      <c r="AY53" s="268">
        <f t="shared" si="22"/>
        <v>0</v>
      </c>
      <c r="AZ53" s="267">
        <f>IF(AND(SUM($AQ$16:AQ52)&gt;0,SUM($AZ$16:AZ52)&lt;$P$62,$W53&gt;=$P$65),$P$64,0)</f>
        <v>0</v>
      </c>
      <c r="BA53" s="156">
        <f>IF(SUM($AQ$17:$AQ52)&gt;0,($P$62-SUM($AZ$17:$AZ52))*$F$65,0)</f>
        <v>0</v>
      </c>
      <c r="BB53" s="157">
        <f t="shared" si="23"/>
        <v>0</v>
      </c>
      <c r="BC53" s="153">
        <f t="shared" si="24"/>
        <v>0</v>
      </c>
      <c r="BD53" s="154">
        <f t="shared" si="25"/>
        <v>0</v>
      </c>
      <c r="BE53" s="48"/>
      <c r="BF53" s="47">
        <f t="shared" si="42"/>
        <v>0.28508323933125035</v>
      </c>
      <c r="BH53" s="152">
        <f t="shared" si="26"/>
        <v>0</v>
      </c>
      <c r="BI53" s="152">
        <f t="shared" si="27"/>
        <v>0</v>
      </c>
      <c r="BJ53" s="153">
        <f t="shared" si="28"/>
        <v>0</v>
      </c>
      <c r="BK53" s="153">
        <f t="shared" si="29"/>
        <v>0</v>
      </c>
      <c r="BL53" s="153">
        <f t="shared" si="30"/>
        <v>0</v>
      </c>
      <c r="BM53" s="156">
        <f t="shared" si="31"/>
        <v>0</v>
      </c>
      <c r="BN53" s="157">
        <f t="shared" si="32"/>
        <v>0</v>
      </c>
      <c r="BO53" s="153">
        <f t="shared" si="33"/>
        <v>0</v>
      </c>
      <c r="BP53" s="153">
        <f t="shared" si="34"/>
        <v>0</v>
      </c>
      <c r="BQ53" s="153">
        <f t="shared" si="35"/>
        <v>0</v>
      </c>
      <c r="BR53" s="153">
        <f t="shared" si="36"/>
        <v>0</v>
      </c>
      <c r="BS53" s="220">
        <f t="shared" si="37"/>
        <v>0</v>
      </c>
      <c r="BT53" s="153">
        <f t="array" ref="BT53">IF($W53&lt;=$O$16,_xlfn.IFS(W53&lt;$F$16,$P$92,W53=$F$16,$P$93,W53&gt;$F$16,$P$94),0)</f>
        <v>0</v>
      </c>
      <c r="BU53" s="157">
        <f t="shared" si="38"/>
        <v>0</v>
      </c>
      <c r="BV53" s="157">
        <f t="shared" si="39"/>
        <v>0</v>
      </c>
      <c r="BW53" s="150"/>
      <c r="BX53" s="155">
        <f t="shared" si="40"/>
        <v>0</v>
      </c>
      <c r="BY53" s="273">
        <f t="shared" si="43"/>
        <v>0</v>
      </c>
    </row>
    <row r="54" spans="1:77" ht="15.75" customHeight="1" thickBot="1">
      <c r="A54" s="4" t="s">
        <v>152</v>
      </c>
      <c r="K54" s="122" t="s">
        <v>153</v>
      </c>
      <c r="L54" s="123"/>
      <c r="M54" s="123"/>
      <c r="N54" s="124" t="s">
        <v>7</v>
      </c>
      <c r="O54" s="125"/>
      <c r="P54" s="126">
        <f>SUM(P52:P53)*$F$47</f>
        <v>45.78</v>
      </c>
      <c r="Q54" t="s">
        <v>154</v>
      </c>
      <c r="V54" s="57">
        <f t="shared" si="41"/>
        <v>59261</v>
      </c>
      <c r="W54" s="26">
        <v>38</v>
      </c>
      <c r="X54" s="269" t="str">
        <f t="shared" si="0"/>
        <v>-</v>
      </c>
      <c r="Y54" s="158">
        <f t="shared" si="1"/>
        <v>0</v>
      </c>
      <c r="Z54" s="156">
        <f t="shared" si="2"/>
        <v>0</v>
      </c>
      <c r="AA54" s="156">
        <f t="shared" si="3"/>
        <v>0</v>
      </c>
      <c r="AB54" s="156">
        <f t="shared" si="4"/>
        <v>0</v>
      </c>
      <c r="AC54" s="157">
        <f t="shared" si="5"/>
        <v>0</v>
      </c>
      <c r="AD54" s="158">
        <f t="shared" si="6"/>
        <v>0</v>
      </c>
      <c r="AE54" s="156">
        <f t="shared" si="7"/>
        <v>0</v>
      </c>
      <c r="AF54" s="156">
        <f t="shared" si="8"/>
        <v>0</v>
      </c>
      <c r="AG54" s="222">
        <f>IF(AND(SUM($AA$16:AA53)&gt;0,SUM($AG$16:AG53)&lt;$O$62,$W54&gt;=$O$65),$O$64,0)</f>
        <v>0</v>
      </c>
      <c r="AH54" s="220">
        <f>IF(SUM($AA$17:$AA53)&gt;0,($O$62-SUM($AG$17:$AG53))*$E$65,0)</f>
        <v>0</v>
      </c>
      <c r="AI54" s="157">
        <f t="shared" si="9"/>
        <v>0</v>
      </c>
      <c r="AJ54" s="153">
        <f t="shared" si="10"/>
        <v>0</v>
      </c>
      <c r="AK54" s="155">
        <f>(SUM($P$31,$P$51)-SUM($AU$17:AU53))*$O$109</f>
        <v>3.2969182939268646E-15</v>
      </c>
      <c r="AL54" s="160"/>
      <c r="AM54" s="154">
        <f t="shared" si="11"/>
        <v>0</v>
      </c>
      <c r="AN54" s="161"/>
      <c r="AO54" s="152">
        <f t="shared" si="12"/>
        <v>0</v>
      </c>
      <c r="AP54" s="153">
        <f t="shared" si="13"/>
        <v>0</v>
      </c>
      <c r="AQ54" s="153">
        <f t="shared" si="14"/>
        <v>0</v>
      </c>
      <c r="AR54" s="156">
        <f t="shared" si="15"/>
        <v>0</v>
      </c>
      <c r="AS54" s="157">
        <f t="shared" si="16"/>
        <v>0</v>
      </c>
      <c r="AT54" s="156">
        <f t="shared" si="17"/>
        <v>0</v>
      </c>
      <c r="AU54" s="156">
        <f t="shared" si="18"/>
        <v>0</v>
      </c>
      <c r="AV54" s="156">
        <f t="shared" si="19"/>
        <v>0</v>
      </c>
      <c r="AW54" s="156">
        <f t="shared" si="20"/>
        <v>0</v>
      </c>
      <c r="AX54" s="267">
        <f t="shared" si="21"/>
        <v>0</v>
      </c>
      <c r="AY54" s="268">
        <f t="shared" si="22"/>
        <v>0</v>
      </c>
      <c r="AZ54" s="267">
        <f>IF(AND(SUM($AQ$16:AQ53)&gt;0,SUM($AZ$16:AZ53)&lt;$P$62,$W54&gt;=$P$65),$P$64,0)</f>
        <v>0</v>
      </c>
      <c r="BA54" s="156">
        <f>IF(SUM($AQ$17:$AQ53)&gt;0,($P$62-SUM($AZ$17:$AZ53))*$F$65,0)</f>
        <v>0</v>
      </c>
      <c r="BB54" s="157">
        <f t="shared" si="23"/>
        <v>0</v>
      </c>
      <c r="BC54" s="153">
        <f t="shared" si="24"/>
        <v>0</v>
      </c>
      <c r="BD54" s="154">
        <f t="shared" si="25"/>
        <v>0</v>
      </c>
      <c r="BE54" s="48"/>
      <c r="BF54" s="47">
        <f t="shared" si="42"/>
        <v>0.27557587175567944</v>
      </c>
      <c r="BH54" s="152">
        <f t="shared" si="26"/>
        <v>0</v>
      </c>
      <c r="BI54" s="152">
        <f t="shared" si="27"/>
        <v>0</v>
      </c>
      <c r="BJ54" s="153">
        <f t="shared" si="28"/>
        <v>0</v>
      </c>
      <c r="BK54" s="153">
        <f t="shared" si="29"/>
        <v>0</v>
      </c>
      <c r="BL54" s="153">
        <f t="shared" si="30"/>
        <v>0</v>
      </c>
      <c r="BM54" s="156">
        <f t="shared" si="31"/>
        <v>0</v>
      </c>
      <c r="BN54" s="157">
        <f t="shared" si="32"/>
        <v>0</v>
      </c>
      <c r="BO54" s="153">
        <f t="shared" si="33"/>
        <v>0</v>
      </c>
      <c r="BP54" s="153">
        <f t="shared" si="34"/>
        <v>0</v>
      </c>
      <c r="BQ54" s="153">
        <f t="shared" si="35"/>
        <v>0</v>
      </c>
      <c r="BR54" s="153">
        <f t="shared" si="36"/>
        <v>0</v>
      </c>
      <c r="BS54" s="220">
        <f t="shared" si="37"/>
        <v>0</v>
      </c>
      <c r="BT54" s="153">
        <f t="array" ref="BT54">IF($W54&lt;=$O$16,_xlfn.IFS(W54&lt;$F$16,$P$92,W54=$F$16,$P$93,W54&gt;$F$16,$P$94),0)</f>
        <v>0</v>
      </c>
      <c r="BU54" s="157">
        <f t="shared" si="38"/>
        <v>0</v>
      </c>
      <c r="BV54" s="157">
        <f t="shared" si="39"/>
        <v>0</v>
      </c>
      <c r="BW54" s="150"/>
      <c r="BX54" s="155">
        <f t="shared" si="40"/>
        <v>0</v>
      </c>
      <c r="BY54" s="273">
        <f t="shared" si="43"/>
        <v>0</v>
      </c>
    </row>
    <row r="55" spans="1:77" ht="15.75" customHeight="1">
      <c r="V55" s="57">
        <f t="shared" si="41"/>
        <v>59626</v>
      </c>
      <c r="W55" s="26">
        <v>39</v>
      </c>
      <c r="X55" s="269" t="str">
        <f t="shared" si="0"/>
        <v>-</v>
      </c>
      <c r="Y55" s="158">
        <f t="shared" si="1"/>
        <v>0</v>
      </c>
      <c r="Z55" s="156">
        <f t="shared" si="2"/>
        <v>0</v>
      </c>
      <c r="AA55" s="156">
        <f t="shared" si="3"/>
        <v>0</v>
      </c>
      <c r="AB55" s="156">
        <f t="shared" si="4"/>
        <v>0</v>
      </c>
      <c r="AC55" s="157">
        <f t="shared" si="5"/>
        <v>0</v>
      </c>
      <c r="AD55" s="158">
        <f t="shared" si="6"/>
        <v>0</v>
      </c>
      <c r="AE55" s="156">
        <f t="shared" si="7"/>
        <v>0</v>
      </c>
      <c r="AF55" s="156">
        <f t="shared" si="8"/>
        <v>0</v>
      </c>
      <c r="AG55" s="222">
        <f>IF(AND(SUM($AA$16:AA54)&gt;0,SUM($AG$16:AG54)&lt;$O$62,$W55&gt;=$O$65),$O$64,0)</f>
        <v>0</v>
      </c>
      <c r="AH55" s="220">
        <f>IF(SUM($AA$17:$AA54)&gt;0,($O$62-SUM($AG$17:$AG54))*$E$65,0)</f>
        <v>0</v>
      </c>
      <c r="AI55" s="157">
        <f t="shared" si="9"/>
        <v>0</v>
      </c>
      <c r="AJ55" s="153">
        <f t="shared" si="10"/>
        <v>0</v>
      </c>
      <c r="AK55" s="155">
        <f>(SUM($P$31,$P$51)-SUM($AU$17:AU54))*$O$109</f>
        <v>3.2969182939268646E-15</v>
      </c>
      <c r="AL55" s="160"/>
      <c r="AM55" s="154">
        <f t="shared" si="11"/>
        <v>0</v>
      </c>
      <c r="AN55" s="161"/>
      <c r="AO55" s="152">
        <f t="shared" si="12"/>
        <v>0</v>
      </c>
      <c r="AP55" s="153">
        <f t="shared" si="13"/>
        <v>0</v>
      </c>
      <c r="AQ55" s="153">
        <f t="shared" si="14"/>
        <v>0</v>
      </c>
      <c r="AR55" s="156">
        <f t="shared" si="15"/>
        <v>0</v>
      </c>
      <c r="AS55" s="157">
        <f t="shared" si="16"/>
        <v>0</v>
      </c>
      <c r="AT55" s="156">
        <f t="shared" si="17"/>
        <v>0</v>
      </c>
      <c r="AU55" s="156">
        <f t="shared" si="18"/>
        <v>0</v>
      </c>
      <c r="AV55" s="156">
        <f t="shared" si="19"/>
        <v>0</v>
      </c>
      <c r="AW55" s="156">
        <f t="shared" si="20"/>
        <v>0</v>
      </c>
      <c r="AX55" s="267">
        <f t="shared" si="21"/>
        <v>0</v>
      </c>
      <c r="AY55" s="268">
        <f t="shared" si="22"/>
        <v>0</v>
      </c>
      <c r="AZ55" s="267">
        <f>IF(AND(SUM($AQ$16:AQ54)&gt;0,SUM($AZ$16:AZ54)&lt;$P$62,$W55&gt;=$P$65),$P$64,0)</f>
        <v>0</v>
      </c>
      <c r="BA55" s="156">
        <f>IF(SUM($AQ$17:$AQ54)&gt;0,($P$62-SUM($AZ$17:$AZ54))*$F$65,0)</f>
        <v>0</v>
      </c>
      <c r="BB55" s="157">
        <f t="shared" si="23"/>
        <v>0</v>
      </c>
      <c r="BC55" s="153">
        <f t="shared" si="24"/>
        <v>0</v>
      </c>
      <c r="BD55" s="154">
        <f t="shared" si="25"/>
        <v>0</v>
      </c>
      <c r="BE55" s="48"/>
      <c r="BF55" s="47">
        <f t="shared" si="42"/>
        <v>0.26638556960433007</v>
      </c>
      <c r="BH55" s="152">
        <f t="shared" si="26"/>
        <v>0</v>
      </c>
      <c r="BI55" s="152">
        <f t="shared" si="27"/>
        <v>0</v>
      </c>
      <c r="BJ55" s="153">
        <f t="shared" si="28"/>
        <v>0</v>
      </c>
      <c r="BK55" s="153">
        <f t="shared" si="29"/>
        <v>0</v>
      </c>
      <c r="BL55" s="153">
        <f t="shared" si="30"/>
        <v>0</v>
      </c>
      <c r="BM55" s="156">
        <f t="shared" si="31"/>
        <v>0</v>
      </c>
      <c r="BN55" s="157">
        <f t="shared" si="32"/>
        <v>0</v>
      </c>
      <c r="BO55" s="153">
        <f t="shared" si="33"/>
        <v>0</v>
      </c>
      <c r="BP55" s="153">
        <f t="shared" si="34"/>
        <v>0</v>
      </c>
      <c r="BQ55" s="153">
        <f t="shared" si="35"/>
        <v>0</v>
      </c>
      <c r="BR55" s="153">
        <f t="shared" si="36"/>
        <v>0</v>
      </c>
      <c r="BS55" s="220">
        <f t="shared" si="37"/>
        <v>0</v>
      </c>
      <c r="BT55" s="153">
        <f t="array" ref="BT55">IF($W55&lt;=$O$16,_xlfn.IFS(W55&lt;$F$16,$P$92,W55=$F$16,$P$93,W55&gt;$F$16,$P$94),0)</f>
        <v>0</v>
      </c>
      <c r="BU55" s="157">
        <f t="shared" si="38"/>
        <v>0</v>
      </c>
      <c r="BV55" s="157">
        <f t="shared" si="39"/>
        <v>0</v>
      </c>
      <c r="BW55" s="150"/>
      <c r="BX55" s="155">
        <f t="shared" si="40"/>
        <v>0</v>
      </c>
      <c r="BY55" s="273">
        <f t="shared" si="43"/>
        <v>0</v>
      </c>
    </row>
    <row r="56" spans="1:77" ht="15.75" customHeight="1">
      <c r="C56" s="55" t="s">
        <v>155</v>
      </c>
      <c r="D56" t="s">
        <v>7</v>
      </c>
      <c r="F56" s="1">
        <v>0</v>
      </c>
      <c r="V56" s="57">
        <f t="shared" si="41"/>
        <v>59992</v>
      </c>
      <c r="W56" s="26">
        <v>40</v>
      </c>
      <c r="X56" s="269" t="str">
        <f t="shared" si="0"/>
        <v>-</v>
      </c>
      <c r="Y56" s="158">
        <f t="shared" si="1"/>
        <v>0</v>
      </c>
      <c r="Z56" s="156">
        <f t="shared" si="2"/>
        <v>0</v>
      </c>
      <c r="AA56" s="156">
        <f t="shared" si="3"/>
        <v>0</v>
      </c>
      <c r="AB56" s="156">
        <f t="shared" si="4"/>
        <v>0</v>
      </c>
      <c r="AC56" s="157">
        <f t="shared" si="5"/>
        <v>0</v>
      </c>
      <c r="AD56" s="158">
        <f t="shared" si="6"/>
        <v>0</v>
      </c>
      <c r="AE56" s="156">
        <f t="shared" si="7"/>
        <v>0</v>
      </c>
      <c r="AF56" s="156">
        <f t="shared" si="8"/>
        <v>0</v>
      </c>
      <c r="AG56" s="222">
        <f>IF(AND(SUM($AA$16:AA55)&gt;0,SUM($AG$16:AG55)&lt;$O$62,$W56&gt;=$O$65),$O$64,0)</f>
        <v>0</v>
      </c>
      <c r="AH56" s="220">
        <f>IF(SUM($AA$17:$AA55)&gt;0,($O$62-SUM($AG$17:$AG55))*$E$65,0)</f>
        <v>0</v>
      </c>
      <c r="AI56" s="157">
        <f t="shared" si="9"/>
        <v>0</v>
      </c>
      <c r="AJ56" s="153">
        <f t="shared" si="10"/>
        <v>0</v>
      </c>
      <c r="AK56" s="155">
        <f>(SUM($P$31,$P$51)-SUM($AU$17:AU55))*$O$109</f>
        <v>3.2969182939268646E-15</v>
      </c>
      <c r="AL56" s="160"/>
      <c r="AM56" s="154">
        <f t="shared" si="11"/>
        <v>0</v>
      </c>
      <c r="AN56" s="161"/>
      <c r="AO56" s="152">
        <f t="shared" si="12"/>
        <v>0</v>
      </c>
      <c r="AP56" s="153">
        <f t="shared" si="13"/>
        <v>0</v>
      </c>
      <c r="AQ56" s="153">
        <f t="shared" si="14"/>
        <v>0</v>
      </c>
      <c r="AR56" s="156">
        <f t="shared" si="15"/>
        <v>0</v>
      </c>
      <c r="AS56" s="157">
        <f t="shared" si="16"/>
        <v>0</v>
      </c>
      <c r="AT56" s="156">
        <f t="shared" si="17"/>
        <v>0</v>
      </c>
      <c r="AU56" s="156">
        <f t="shared" si="18"/>
        <v>0</v>
      </c>
      <c r="AV56" s="156">
        <f t="shared" si="19"/>
        <v>0</v>
      </c>
      <c r="AW56" s="156">
        <f t="shared" si="20"/>
        <v>0</v>
      </c>
      <c r="AX56" s="267">
        <f t="shared" si="21"/>
        <v>0</v>
      </c>
      <c r="AY56" s="268">
        <f t="shared" si="22"/>
        <v>0</v>
      </c>
      <c r="AZ56" s="267">
        <f>IF(AND(SUM($AQ$16:AQ55)&gt;0,SUM($AZ$16:AZ55)&lt;$P$62,$W56&gt;=$P$65),$P$64,0)</f>
        <v>0</v>
      </c>
      <c r="BA56" s="156">
        <f>IF(SUM($AQ$17:$AQ55)&gt;0,($P$62-SUM($AZ$17:$AZ55))*$F$65,0)</f>
        <v>0</v>
      </c>
      <c r="BB56" s="157">
        <f t="shared" si="23"/>
        <v>0</v>
      </c>
      <c r="BC56" s="153">
        <f t="shared" si="24"/>
        <v>0</v>
      </c>
      <c r="BD56" s="154">
        <f t="shared" si="25"/>
        <v>0</v>
      </c>
      <c r="BE56" s="48"/>
      <c r="BF56" s="47">
        <f t="shared" si="42"/>
        <v>0.25750175892153704</v>
      </c>
      <c r="BH56" s="152">
        <f t="shared" si="26"/>
        <v>0</v>
      </c>
      <c r="BI56" s="152">
        <f t="shared" si="27"/>
        <v>0</v>
      </c>
      <c r="BJ56" s="153">
        <f t="shared" si="28"/>
        <v>0</v>
      </c>
      <c r="BK56" s="153">
        <f t="shared" si="29"/>
        <v>0</v>
      </c>
      <c r="BL56" s="153">
        <f t="shared" si="30"/>
        <v>0</v>
      </c>
      <c r="BM56" s="156">
        <f t="shared" si="31"/>
        <v>0</v>
      </c>
      <c r="BN56" s="157">
        <f t="shared" si="32"/>
        <v>0</v>
      </c>
      <c r="BO56" s="153">
        <f t="shared" si="33"/>
        <v>0</v>
      </c>
      <c r="BP56" s="153">
        <f t="shared" si="34"/>
        <v>0</v>
      </c>
      <c r="BQ56" s="153">
        <f t="shared" si="35"/>
        <v>0</v>
      </c>
      <c r="BR56" s="153">
        <f t="shared" si="36"/>
        <v>0</v>
      </c>
      <c r="BS56" s="220">
        <f t="shared" si="37"/>
        <v>0</v>
      </c>
      <c r="BT56" s="153">
        <f t="array" ref="BT56">IF($W56&lt;=$O$16,_xlfn.IFS(W56&lt;$F$16,$P$92,W56=$F$16,$P$93,W56&gt;$F$16,$P$94),0)</f>
        <v>0</v>
      </c>
      <c r="BU56" s="157">
        <f t="shared" si="38"/>
        <v>0</v>
      </c>
      <c r="BV56" s="157">
        <f t="shared" si="39"/>
        <v>0</v>
      </c>
      <c r="BW56" s="150"/>
      <c r="BX56" s="155">
        <f t="shared" si="40"/>
        <v>0</v>
      </c>
      <c r="BY56" s="273">
        <f t="shared" si="43"/>
        <v>0</v>
      </c>
    </row>
    <row r="57" spans="1:77" ht="15.75" customHeight="1" thickBot="1">
      <c r="Y57" s="162"/>
      <c r="Z57" s="162"/>
      <c r="AA57" s="150"/>
      <c r="AB57" s="150"/>
      <c r="AC57" s="150"/>
      <c r="AD57" s="150"/>
      <c r="AE57" s="150"/>
      <c r="AF57" s="150"/>
      <c r="AG57" s="156"/>
      <c r="AH57" s="156"/>
      <c r="AI57" s="150"/>
      <c r="AJ57" s="150"/>
      <c r="AK57" s="163"/>
      <c r="AL57" s="163"/>
      <c r="AM57" s="163"/>
      <c r="AN57" s="163"/>
      <c r="AO57" s="163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H57" s="150"/>
      <c r="BI57" s="150"/>
      <c r="BJ57" s="150"/>
      <c r="BK57" s="150"/>
      <c r="BL57" s="150"/>
      <c r="BM57" s="150"/>
      <c r="BN57" s="150"/>
      <c r="BO57" s="150"/>
      <c r="BP57" s="150"/>
      <c r="BQ57" s="150"/>
      <c r="BR57" s="150"/>
      <c r="BS57" s="150"/>
      <c r="BT57" s="150"/>
      <c r="BU57" s="150"/>
      <c r="BV57" s="150"/>
      <c r="BW57" s="150"/>
      <c r="BX57" s="150"/>
    </row>
    <row r="58" spans="1:77" ht="15.75" customHeight="1" thickTop="1">
      <c r="A58" s="4" t="s">
        <v>156</v>
      </c>
      <c r="E58" t="s">
        <v>2</v>
      </c>
      <c r="F58" t="s">
        <v>50</v>
      </c>
      <c r="J58" s="4" t="s">
        <v>156</v>
      </c>
      <c r="X58" s="142" t="s">
        <v>10</v>
      </c>
      <c r="Y58" s="225">
        <f t="shared" ref="Y58:AK58" si="44">SUM(Y16:Y56)</f>
        <v>1140</v>
      </c>
      <c r="Z58" s="225">
        <f t="shared" si="44"/>
        <v>384.75</v>
      </c>
      <c r="AA58" s="225">
        <f t="shared" si="44"/>
        <v>1282.5</v>
      </c>
      <c r="AB58" s="225">
        <f t="shared" si="44"/>
        <v>0</v>
      </c>
      <c r="AC58" s="225">
        <f t="shared" si="44"/>
        <v>1524.75</v>
      </c>
      <c r="AD58" s="225">
        <f t="shared" si="44"/>
        <v>2850</v>
      </c>
      <c r="AE58" s="225">
        <f t="shared" si="44"/>
        <v>1000</v>
      </c>
      <c r="AF58" s="225">
        <f t="shared" si="44"/>
        <v>230</v>
      </c>
      <c r="AG58" s="225">
        <f t="shared" si="44"/>
        <v>1282.5</v>
      </c>
      <c r="AH58" s="225">
        <f t="shared" si="44"/>
        <v>259.70625000000001</v>
      </c>
      <c r="AI58" s="225">
        <f t="shared" si="44"/>
        <v>4080</v>
      </c>
      <c r="AJ58" s="232">
        <f t="shared" si="44"/>
        <v>-2555.25</v>
      </c>
      <c r="AK58" s="232">
        <f t="shared" si="44"/>
        <v>284.59058385963715</v>
      </c>
      <c r="AL58" s="225">
        <f>SUM(AJ58,AL16)</f>
        <v>-3415.8405838596373</v>
      </c>
      <c r="AM58" s="232">
        <f>SUM(AM16:AM56)</f>
        <v>-2859.4058669498831</v>
      </c>
      <c r="AN58" s="163"/>
      <c r="AO58" s="225">
        <f t="shared" ref="AO58:BD58" si="45">SUM(AO16:AO56)</f>
        <v>1140</v>
      </c>
      <c r="AP58" s="225">
        <f t="shared" si="45"/>
        <v>64.125</v>
      </c>
      <c r="AQ58" s="225">
        <f t="shared" si="45"/>
        <v>213.75</v>
      </c>
      <c r="AR58" s="225">
        <f t="shared" si="45"/>
        <v>33.6</v>
      </c>
      <c r="AS58" s="225">
        <f t="shared" si="45"/>
        <v>1237.7249999999999</v>
      </c>
      <c r="AT58" s="225">
        <f t="shared" si="45"/>
        <v>1425</v>
      </c>
      <c r="AU58" s="225">
        <f t="shared" si="45"/>
        <v>1666.7799999999997</v>
      </c>
      <c r="AV58" s="225">
        <f t="shared" si="45"/>
        <v>775.26400430728734</v>
      </c>
      <c r="AW58" s="225">
        <f t="shared" si="45"/>
        <v>950</v>
      </c>
      <c r="AX58" s="225">
        <f t="shared" si="45"/>
        <v>163</v>
      </c>
      <c r="AY58" s="225">
        <f t="shared" si="45"/>
        <v>915.59999999999968</v>
      </c>
      <c r="AZ58" s="225">
        <f t="shared" si="45"/>
        <v>213.75</v>
      </c>
      <c r="BA58" s="225">
        <f t="shared" si="45"/>
        <v>43.284375000000018</v>
      </c>
      <c r="BB58" s="225">
        <f t="shared" si="45"/>
        <v>5895.6440043072889</v>
      </c>
      <c r="BC58" s="232">
        <f t="shared" si="45"/>
        <v>-4657.9190043072867</v>
      </c>
      <c r="BD58" s="232">
        <f t="shared" si="45"/>
        <v>-3065.0142905733696</v>
      </c>
      <c r="BH58" s="225">
        <f t="shared" ref="BH58:BV58" si="46">SUM(BH16:BH56)</f>
        <v>1425</v>
      </c>
      <c r="BI58" s="225">
        <f t="shared" si="46"/>
        <v>1666.7799999999997</v>
      </c>
      <c r="BJ58" s="225">
        <f t="shared" si="46"/>
        <v>775.26400430728734</v>
      </c>
      <c r="BK58" s="225">
        <f t="shared" si="46"/>
        <v>950</v>
      </c>
      <c r="BL58" s="225">
        <f t="shared" si="46"/>
        <v>915.59999999999968</v>
      </c>
      <c r="BM58" s="225">
        <f t="shared" si="46"/>
        <v>0</v>
      </c>
      <c r="BN58" s="225">
        <f t="shared" si="46"/>
        <v>5732.6440043072889</v>
      </c>
      <c r="BO58" s="225">
        <f t="shared" si="46"/>
        <v>2850</v>
      </c>
      <c r="BP58" s="225">
        <f t="shared" si="46"/>
        <v>950</v>
      </c>
      <c r="BQ58" s="225">
        <f t="shared" si="46"/>
        <v>563.55066986346958</v>
      </c>
      <c r="BR58" s="225">
        <f t="shared" si="46"/>
        <v>276</v>
      </c>
      <c r="BS58" s="225">
        <f t="shared" si="46"/>
        <v>200</v>
      </c>
      <c r="BT58" s="225">
        <f t="shared" si="46"/>
        <v>781.73999999999967</v>
      </c>
      <c r="BU58" s="225">
        <f t="shared" si="46"/>
        <v>5057.74</v>
      </c>
      <c r="BV58" s="225">
        <f t="shared" si="46"/>
        <v>674.90400430728619</v>
      </c>
      <c r="BW58" s="163"/>
      <c r="BX58" s="165">
        <f>SUM(BX16:BX56)</f>
        <v>1666.7800000000002</v>
      </c>
    </row>
    <row r="59" spans="1:77" ht="15.75" customHeight="1">
      <c r="B59" t="s">
        <v>157</v>
      </c>
      <c r="C59" t="s">
        <v>158</v>
      </c>
      <c r="D59" t="s">
        <v>7</v>
      </c>
      <c r="E59" s="21">
        <f>O62</f>
        <v>1282.5</v>
      </c>
      <c r="F59" s="21">
        <f>P62</f>
        <v>213.75</v>
      </c>
      <c r="J59" s="4" t="s">
        <v>157</v>
      </c>
      <c r="O59" t="s">
        <v>2</v>
      </c>
      <c r="P59" t="s">
        <v>50</v>
      </c>
      <c r="V59" s="19"/>
      <c r="AL59" s="31" t="s">
        <v>159</v>
      </c>
    </row>
    <row r="60" spans="1:77" ht="15.75" customHeight="1">
      <c r="C60" t="s">
        <v>160</v>
      </c>
      <c r="D60" t="s">
        <v>38</v>
      </c>
      <c r="E60" s="138">
        <v>0.4</v>
      </c>
      <c r="F60" s="138">
        <v>0.4</v>
      </c>
      <c r="K60" t="s">
        <v>161</v>
      </c>
      <c r="N60" s="19" t="s">
        <v>7</v>
      </c>
      <c r="O60" s="51">
        <f>O29</f>
        <v>2850</v>
      </c>
      <c r="P60" s="51">
        <f>P29</f>
        <v>2850</v>
      </c>
      <c r="V60" s="19"/>
      <c r="AL60" s="31" t="s">
        <v>162</v>
      </c>
    </row>
    <row r="61" spans="1:77">
      <c r="C61" t="s">
        <v>163</v>
      </c>
      <c r="D61" t="s">
        <v>38</v>
      </c>
      <c r="E61" s="3">
        <v>0.3</v>
      </c>
      <c r="F61" s="3">
        <v>0.3</v>
      </c>
      <c r="K61" t="s">
        <v>62</v>
      </c>
      <c r="N61" s="19" t="s">
        <v>7</v>
      </c>
      <c r="O61" s="51">
        <f>O60*$E$60</f>
        <v>1140</v>
      </c>
      <c r="P61" s="51">
        <f>P60*$F$60</f>
        <v>1140</v>
      </c>
      <c r="V61" s="19"/>
    </row>
    <row r="62" spans="1:77" ht="15.75" customHeight="1">
      <c r="C62" s="265" t="s">
        <v>164</v>
      </c>
      <c r="D62" t="s">
        <v>38</v>
      </c>
      <c r="E62" s="3">
        <v>0.75</v>
      </c>
      <c r="F62" s="3">
        <v>0.75</v>
      </c>
      <c r="J62" s="4"/>
      <c r="K62" t="s">
        <v>165</v>
      </c>
      <c r="N62" s="19" t="s">
        <v>7</v>
      </c>
      <c r="O62" s="51">
        <f>(O60-O61)*$E$62</f>
        <v>1282.5</v>
      </c>
      <c r="P62" s="51">
        <f>(P30-P61)*$F$62</f>
        <v>213.75</v>
      </c>
      <c r="V62" s="19"/>
    </row>
    <row r="63" spans="1:77" ht="15.75" customHeight="1">
      <c r="C63" t="s">
        <v>166</v>
      </c>
      <c r="D63" t="s">
        <v>91</v>
      </c>
      <c r="E63" s="1">
        <v>3</v>
      </c>
      <c r="F63" s="1">
        <v>3</v>
      </c>
      <c r="K63" t="s">
        <v>167</v>
      </c>
      <c r="N63" s="19" t="s">
        <v>7</v>
      </c>
      <c r="O63" s="51">
        <f>O62*$E$61</f>
        <v>384.75</v>
      </c>
      <c r="P63" s="51">
        <f>P62*$F$61</f>
        <v>64.125</v>
      </c>
      <c r="V63" s="19"/>
    </row>
    <row r="64" spans="1:77" ht="15.75" customHeight="1">
      <c r="C64" s="55" t="s">
        <v>168</v>
      </c>
      <c r="D64" t="s">
        <v>91</v>
      </c>
      <c r="E64" s="1">
        <v>20</v>
      </c>
      <c r="F64" s="1">
        <v>20</v>
      </c>
      <c r="K64" t="s">
        <v>169</v>
      </c>
      <c r="N64" s="19" t="s">
        <v>7</v>
      </c>
      <c r="O64" s="51">
        <f>O62/$E$64</f>
        <v>64.125</v>
      </c>
      <c r="P64" s="51">
        <f>P62/$F$64</f>
        <v>10.6875</v>
      </c>
      <c r="V64" s="19"/>
    </row>
    <row r="65" spans="1:23" ht="15.75" customHeight="1">
      <c r="C65" s="55" t="s">
        <v>170</v>
      </c>
      <c r="D65" t="s">
        <v>38</v>
      </c>
      <c r="E65" s="53">
        <v>1.4999999999999999E-2</v>
      </c>
      <c r="F65" s="53">
        <v>1.4999999999999999E-2</v>
      </c>
      <c r="K65" t="s">
        <v>171</v>
      </c>
      <c r="N65" s="19" t="s">
        <v>172</v>
      </c>
      <c r="O65" s="51">
        <f>$F$16+E63+1</f>
        <v>7</v>
      </c>
      <c r="P65" s="51">
        <f>$F$16+F63+1</f>
        <v>7</v>
      </c>
    </row>
    <row r="66" spans="1:23" ht="15.75" customHeight="1">
      <c r="B66" t="s">
        <v>173</v>
      </c>
      <c r="C66" s="19"/>
      <c r="J66" s="4" t="s">
        <v>173</v>
      </c>
      <c r="P66" t="s">
        <v>50</v>
      </c>
    </row>
    <row r="67" spans="1:23" ht="15.75" customHeight="1">
      <c r="E67" t="s">
        <v>2</v>
      </c>
      <c r="F67" t="s">
        <v>50</v>
      </c>
      <c r="K67" t="s">
        <v>174</v>
      </c>
      <c r="O67" s="19"/>
      <c r="P67" s="109">
        <f>SUM(F69:F70)</f>
        <v>2.9499999999999998E-2</v>
      </c>
    </row>
    <row r="68" spans="1:23" ht="15.75" customHeight="1">
      <c r="C68" t="s">
        <v>158</v>
      </c>
      <c r="D68" t="s">
        <v>7</v>
      </c>
      <c r="F68" s="21">
        <f>P31</f>
        <v>1425</v>
      </c>
    </row>
    <row r="69" spans="1:23" ht="15.75" customHeight="1">
      <c r="C69" t="s">
        <v>114</v>
      </c>
      <c r="D69" t="s">
        <v>38</v>
      </c>
      <c r="F69" s="281">
        <f>F35</f>
        <v>1.4500000000000001E-2</v>
      </c>
      <c r="H69" s="55" t="s">
        <v>234</v>
      </c>
    </row>
    <row r="70" spans="1:23" ht="15.75" customHeight="1">
      <c r="C70" t="s">
        <v>119</v>
      </c>
      <c r="D70" t="s">
        <v>38</v>
      </c>
      <c r="F70" s="16">
        <v>1.4999999999999999E-2</v>
      </c>
    </row>
    <row r="71" spans="1:23" ht="15.75" customHeight="1">
      <c r="C71" s="55" t="s">
        <v>176</v>
      </c>
      <c r="D71" t="s">
        <v>38</v>
      </c>
    </row>
    <row r="72" spans="1:23" ht="15.75" customHeight="1">
      <c r="A72" s="4" t="s">
        <v>177</v>
      </c>
      <c r="J72" s="4" t="s">
        <v>177</v>
      </c>
      <c r="O72" s="19"/>
      <c r="P72" s="19"/>
      <c r="R72" s="4" t="s">
        <v>178</v>
      </c>
      <c r="S72" s="4"/>
      <c r="T72" s="4"/>
    </row>
    <row r="73" spans="1:23" ht="15.75" customHeight="1">
      <c r="C73" t="s">
        <v>179</v>
      </c>
      <c r="O73" s="19"/>
      <c r="P73" s="5" t="s">
        <v>179</v>
      </c>
      <c r="U73" s="4" t="s">
        <v>180</v>
      </c>
    </row>
    <row r="74" spans="1:23" ht="15.75" customHeight="1">
      <c r="C74" s="2" t="s">
        <v>181</v>
      </c>
      <c r="D74" t="s">
        <v>7</v>
      </c>
      <c r="F74" s="259">
        <v>0</v>
      </c>
      <c r="H74" t="s">
        <v>203</v>
      </c>
      <c r="N74" t="s">
        <v>183</v>
      </c>
      <c r="P74" s="20">
        <f>F74</f>
        <v>0</v>
      </c>
      <c r="S74" t="s">
        <v>184</v>
      </c>
      <c r="T74" s="19" t="s">
        <v>7</v>
      </c>
      <c r="U74" s="20">
        <f>F90</f>
        <v>0</v>
      </c>
    </row>
    <row r="75" spans="1:23" ht="15.75" customHeight="1">
      <c r="C75" s="2" t="s">
        <v>185</v>
      </c>
      <c r="D75" t="s">
        <v>38</v>
      </c>
      <c r="F75" s="111">
        <v>0.33579999999999999</v>
      </c>
      <c r="H75" t="s">
        <v>186</v>
      </c>
      <c r="N75" t="s">
        <v>187</v>
      </c>
      <c r="P75" s="114">
        <f>F75</f>
        <v>0.33579999999999999</v>
      </c>
      <c r="S75" t="s">
        <v>187</v>
      </c>
      <c r="T75" t="s">
        <v>38</v>
      </c>
      <c r="U75" s="114">
        <f>F91</f>
        <v>0</v>
      </c>
    </row>
    <row r="76" spans="1:23" ht="15.75" customHeight="1">
      <c r="C76" t="s">
        <v>188</v>
      </c>
      <c r="N76" t="s">
        <v>189</v>
      </c>
      <c r="O76" s="19" t="s">
        <v>7</v>
      </c>
      <c r="P76" s="115">
        <f>P74*P75</f>
        <v>0</v>
      </c>
      <c r="S76" t="s">
        <v>189</v>
      </c>
      <c r="T76" s="19" t="s">
        <v>7</v>
      </c>
      <c r="U76" s="115">
        <f>U74*U75</f>
        <v>0</v>
      </c>
      <c r="W76" s="112"/>
    </row>
    <row r="77" spans="1:23" ht="15.75" customHeight="1">
      <c r="C77" s="2" t="s">
        <v>189</v>
      </c>
      <c r="D77" t="s">
        <v>7</v>
      </c>
      <c r="F77" s="110">
        <v>0.18</v>
      </c>
      <c r="H77" t="s">
        <v>190</v>
      </c>
      <c r="N77"/>
      <c r="O77" s="19"/>
      <c r="P77" s="103" t="s">
        <v>188</v>
      </c>
      <c r="T77" s="19"/>
      <c r="U77" s="4" t="s">
        <v>191</v>
      </c>
    </row>
    <row r="78" spans="1:23" ht="15.75" customHeight="1">
      <c r="N78" t="s">
        <v>189</v>
      </c>
      <c r="O78" s="19" t="s">
        <v>7</v>
      </c>
      <c r="P78" s="116">
        <f>F77</f>
        <v>0.18</v>
      </c>
      <c r="S78" t="s">
        <v>184</v>
      </c>
      <c r="T78" s="19" t="s">
        <v>7</v>
      </c>
      <c r="U78" s="20">
        <f>F93</f>
        <v>0</v>
      </c>
    </row>
    <row r="79" spans="1:23" ht="15.75" customHeight="1">
      <c r="C79" t="s">
        <v>192</v>
      </c>
      <c r="O79" s="19"/>
      <c r="P79" s="103" t="s">
        <v>192</v>
      </c>
      <c r="S79" t="s">
        <v>187</v>
      </c>
      <c r="T79" t="s">
        <v>38</v>
      </c>
      <c r="U79" s="114">
        <f>F94</f>
        <v>0</v>
      </c>
    </row>
    <row r="80" spans="1:23" ht="15.75" customHeight="1">
      <c r="C80" s="2" t="s">
        <v>184</v>
      </c>
      <c r="D80" t="s">
        <v>7</v>
      </c>
      <c r="F80" s="110">
        <v>2400</v>
      </c>
      <c r="H80" s="71" t="s">
        <v>193</v>
      </c>
      <c r="N80" t="s">
        <v>194</v>
      </c>
      <c r="O80" s="19"/>
      <c r="P80" s="20">
        <f>F80</f>
        <v>2400</v>
      </c>
      <c r="S80" t="s">
        <v>189</v>
      </c>
      <c r="T80" s="19" t="s">
        <v>7</v>
      </c>
      <c r="U80" s="115">
        <f>U78*U79</f>
        <v>0</v>
      </c>
    </row>
    <row r="81" spans="3:21" ht="15.75" customHeight="1">
      <c r="C81" s="2" t="s">
        <v>187</v>
      </c>
      <c r="D81" t="s">
        <v>38</v>
      </c>
      <c r="F81" s="111">
        <v>0.04</v>
      </c>
      <c r="H81" s="71" t="s">
        <v>241</v>
      </c>
      <c r="N81" t="s">
        <v>187</v>
      </c>
      <c r="O81" s="19"/>
      <c r="P81" s="114">
        <f>F81</f>
        <v>0.04</v>
      </c>
      <c r="T81" s="19"/>
      <c r="U81" s="4" t="s">
        <v>196</v>
      </c>
    </row>
    <row r="82" spans="3:21" ht="15.75" customHeight="1">
      <c r="C82" t="s">
        <v>197</v>
      </c>
      <c r="N82" t="s">
        <v>189</v>
      </c>
      <c r="O82" s="19" t="s">
        <v>7</v>
      </c>
      <c r="P82" s="115">
        <f>P80*P81</f>
        <v>96</v>
      </c>
      <c r="S82" t="s">
        <v>184</v>
      </c>
      <c r="T82" s="19" t="s">
        <v>7</v>
      </c>
      <c r="U82" s="20">
        <f>F96</f>
        <v>0</v>
      </c>
    </row>
    <row r="83" spans="3:21" ht="15.75" customHeight="1">
      <c r="C83" s="2" t="s">
        <v>184</v>
      </c>
      <c r="D83" t="s">
        <v>7</v>
      </c>
      <c r="F83" s="110">
        <v>2400</v>
      </c>
      <c r="H83" s="147" t="s">
        <v>193</v>
      </c>
      <c r="O83" s="19"/>
      <c r="P83" s="103" t="s">
        <v>198</v>
      </c>
      <c r="S83" t="s">
        <v>187</v>
      </c>
      <c r="T83" t="s">
        <v>38</v>
      </c>
      <c r="U83" s="114">
        <f>F97</f>
        <v>0</v>
      </c>
    </row>
    <row r="84" spans="3:21">
      <c r="C84" s="2" t="s">
        <v>187</v>
      </c>
      <c r="D84" t="s">
        <v>38</v>
      </c>
      <c r="F84" s="111">
        <v>1.4E-2</v>
      </c>
      <c r="H84" s="71" t="s">
        <v>241</v>
      </c>
      <c r="N84" t="s">
        <v>194</v>
      </c>
      <c r="O84" s="19"/>
      <c r="P84" s="20">
        <f>F83</f>
        <v>2400</v>
      </c>
      <c r="S84" t="s">
        <v>189</v>
      </c>
      <c r="T84" s="19" t="s">
        <v>7</v>
      </c>
      <c r="U84" s="115">
        <f>U82*U83</f>
        <v>0</v>
      </c>
    </row>
    <row r="85" spans="3:21">
      <c r="C85" t="s">
        <v>198</v>
      </c>
      <c r="N85" t="s">
        <v>187</v>
      </c>
      <c r="O85" s="19"/>
      <c r="P85" s="114">
        <f>F87</f>
        <v>4.0000000000000001E-3</v>
      </c>
      <c r="T85" s="19"/>
    </row>
    <row r="86" spans="3:21">
      <c r="C86" s="2" t="s">
        <v>184</v>
      </c>
      <c r="D86" t="s">
        <v>7</v>
      </c>
      <c r="F86" s="110">
        <v>2400</v>
      </c>
      <c r="H86" s="147" t="s">
        <v>199</v>
      </c>
      <c r="N86" t="s">
        <v>189</v>
      </c>
      <c r="O86" s="19" t="s">
        <v>7</v>
      </c>
      <c r="P86" s="115">
        <f>P84*P85</f>
        <v>9.6</v>
      </c>
      <c r="S86" t="s">
        <v>200</v>
      </c>
      <c r="T86" s="19" t="s">
        <v>7</v>
      </c>
      <c r="U86" s="117">
        <f>IF($F$13="都道府県",P82,0)</f>
        <v>0</v>
      </c>
    </row>
    <row r="87" spans="3:21">
      <c r="C87" s="2" t="s">
        <v>187</v>
      </c>
      <c r="D87" t="s">
        <v>38</v>
      </c>
      <c r="F87" s="111">
        <v>4.0000000000000001E-3</v>
      </c>
      <c r="H87" s="71" t="s">
        <v>241</v>
      </c>
      <c r="N87"/>
      <c r="O87" s="19"/>
      <c r="P87" s="145" t="s">
        <v>197</v>
      </c>
      <c r="S87" t="s">
        <v>201</v>
      </c>
      <c r="T87" s="19" t="s">
        <v>7</v>
      </c>
      <c r="U87" s="68">
        <f>IF($F$13="市町村",P90,0)</f>
        <v>33.6</v>
      </c>
    </row>
    <row r="88" spans="3:21">
      <c r="C88" t="s">
        <v>202</v>
      </c>
      <c r="N88" t="s">
        <v>194</v>
      </c>
      <c r="O88" s="19"/>
      <c r="P88" s="20">
        <f>F83</f>
        <v>2400</v>
      </c>
    </row>
    <row r="89" spans="3:21">
      <c r="C89" t="s">
        <v>180</v>
      </c>
      <c r="N89" t="s">
        <v>187</v>
      </c>
      <c r="O89" s="19"/>
      <c r="P89" s="114">
        <f>F84</f>
        <v>1.4E-2</v>
      </c>
    </row>
    <row r="90" spans="3:21">
      <c r="C90" s="2" t="s">
        <v>184</v>
      </c>
      <c r="D90" t="s">
        <v>7</v>
      </c>
      <c r="F90" s="259">
        <v>0</v>
      </c>
      <c r="H90" t="s">
        <v>203</v>
      </c>
      <c r="N90" t="s">
        <v>189</v>
      </c>
      <c r="O90" s="19" t="s">
        <v>7</v>
      </c>
      <c r="P90" s="115">
        <f>P88*P89</f>
        <v>33.6</v>
      </c>
    </row>
    <row r="91" spans="3:21">
      <c r="C91" s="2" t="s">
        <v>187</v>
      </c>
      <c r="D91" t="s">
        <v>38</v>
      </c>
      <c r="F91" s="1">
        <v>0</v>
      </c>
      <c r="H91" t="s">
        <v>204</v>
      </c>
      <c r="K91" s="4" t="s">
        <v>205</v>
      </c>
      <c r="N91"/>
      <c r="O91" s="19"/>
      <c r="R91" s="4" t="s">
        <v>206</v>
      </c>
      <c r="S91" s="4"/>
    </row>
    <row r="92" spans="3:21">
      <c r="C92" t="s">
        <v>207</v>
      </c>
      <c r="M92" t="s">
        <v>208</v>
      </c>
      <c r="N92" t="s">
        <v>189</v>
      </c>
      <c r="O92" s="19" t="s">
        <v>7</v>
      </c>
      <c r="P92" s="51">
        <f>P78</f>
        <v>0.18</v>
      </c>
      <c r="S92" t="s">
        <v>209</v>
      </c>
      <c r="T92" s="19" t="s">
        <v>7</v>
      </c>
      <c r="U92" s="68">
        <f>SUM(F99,U76,U80,U84,U86:U87)</f>
        <v>33.6</v>
      </c>
    </row>
    <row r="93" spans="3:21">
      <c r="C93" s="2" t="s">
        <v>184</v>
      </c>
      <c r="D93" t="s">
        <v>7</v>
      </c>
      <c r="F93" s="259">
        <v>0</v>
      </c>
      <c r="H93" t="s">
        <v>203</v>
      </c>
      <c r="M93" t="s">
        <v>209</v>
      </c>
      <c r="N93" t="s">
        <v>189</v>
      </c>
      <c r="O93" s="19" t="s">
        <v>7</v>
      </c>
      <c r="P93" s="51">
        <f>SUM(P76,P78,P82,P86)</f>
        <v>105.78</v>
      </c>
      <c r="S93" t="s">
        <v>210</v>
      </c>
      <c r="T93" s="19" t="s">
        <v>7</v>
      </c>
      <c r="U93" s="68">
        <f>SUM(F100,U76,U80,U84)</f>
        <v>0</v>
      </c>
    </row>
    <row r="94" spans="3:21">
      <c r="C94" s="2" t="s">
        <v>187</v>
      </c>
      <c r="D94" t="s">
        <v>38</v>
      </c>
      <c r="F94" s="1">
        <v>0</v>
      </c>
      <c r="H94" t="s">
        <v>204</v>
      </c>
      <c r="M94" t="s">
        <v>210</v>
      </c>
      <c r="N94" t="s">
        <v>189</v>
      </c>
      <c r="O94" s="19" t="s">
        <v>7</v>
      </c>
      <c r="P94" s="21">
        <f>SUM(P76,P78,P90)</f>
        <v>33.78</v>
      </c>
    </row>
    <row r="95" spans="3:21">
      <c r="C95" s="55" t="s">
        <v>211</v>
      </c>
    </row>
    <row r="96" spans="3:21">
      <c r="C96" s="2" t="s">
        <v>184</v>
      </c>
      <c r="D96" t="s">
        <v>7</v>
      </c>
      <c r="F96" s="259">
        <v>0</v>
      </c>
      <c r="H96" t="s">
        <v>203</v>
      </c>
    </row>
    <row r="97" spans="1:16">
      <c r="C97" s="2" t="s">
        <v>187</v>
      </c>
      <c r="D97" t="s">
        <v>38</v>
      </c>
      <c r="F97" s="1">
        <v>0</v>
      </c>
      <c r="H97" t="s">
        <v>212</v>
      </c>
    </row>
    <row r="99" spans="1:16">
      <c r="C99" t="s">
        <v>213</v>
      </c>
      <c r="D99" t="s">
        <v>7</v>
      </c>
      <c r="F99" s="110"/>
    </row>
    <row r="100" spans="1:16">
      <c r="C100" t="s">
        <v>214</v>
      </c>
      <c r="D100" t="s">
        <v>7</v>
      </c>
      <c r="F100" s="110"/>
    </row>
    <row r="102" spans="1:16">
      <c r="A102" s="4" t="s">
        <v>215</v>
      </c>
      <c r="J102" s="4" t="s">
        <v>216</v>
      </c>
      <c r="O102" t="s">
        <v>2</v>
      </c>
      <c r="P102" t="s">
        <v>50</v>
      </c>
    </row>
    <row r="103" spans="1:16">
      <c r="C103" s="31"/>
      <c r="D103" s="31"/>
      <c r="E103" s="31"/>
      <c r="F103" s="31" t="s">
        <v>49</v>
      </c>
      <c r="K103" t="s">
        <v>217</v>
      </c>
      <c r="N103" s="19" t="s">
        <v>7</v>
      </c>
      <c r="O103" s="51">
        <f>F104</f>
        <v>100</v>
      </c>
      <c r="P103" s="52"/>
    </row>
    <row r="104" spans="1:16">
      <c r="C104" s="93" t="s">
        <v>138</v>
      </c>
      <c r="D104" t="s">
        <v>7</v>
      </c>
      <c r="F104" s="1">
        <v>100</v>
      </c>
      <c r="K104" t="s">
        <v>218</v>
      </c>
      <c r="N104" s="19" t="s">
        <v>7</v>
      </c>
      <c r="O104" s="51">
        <f>F105*O16</f>
        <v>276</v>
      </c>
      <c r="P104" s="52"/>
    </row>
    <row r="105" spans="1:16">
      <c r="C105" s="93" t="s">
        <v>219</v>
      </c>
      <c r="D105" t="s">
        <v>7</v>
      </c>
      <c r="F105" s="1">
        <v>12</v>
      </c>
      <c r="K105" t="s">
        <v>220</v>
      </c>
      <c r="N105" s="19" t="s">
        <v>7</v>
      </c>
      <c r="O105" s="51">
        <f>F106</f>
        <v>100</v>
      </c>
      <c r="P105" s="52"/>
    </row>
    <row r="106" spans="1:16">
      <c r="C106" s="93" t="s">
        <v>221</v>
      </c>
      <c r="D106" t="s">
        <v>7</v>
      </c>
      <c r="F106" s="1">
        <v>100</v>
      </c>
      <c r="K106" t="s">
        <v>222</v>
      </c>
    </row>
    <row r="107" spans="1:16">
      <c r="C107" s="93"/>
      <c r="M107" t="s">
        <v>223</v>
      </c>
      <c r="N107" s="19" t="s">
        <v>38</v>
      </c>
      <c r="O107" s="69">
        <f>F65</f>
        <v>1.4999999999999999E-2</v>
      </c>
      <c r="P107" s="52"/>
    </row>
    <row r="108" spans="1:16">
      <c r="C108" s="93"/>
      <c r="M108" t="s">
        <v>224</v>
      </c>
      <c r="N108" s="19" t="s">
        <v>38</v>
      </c>
      <c r="O108" s="70">
        <f>P67</f>
        <v>2.9499999999999998E-2</v>
      </c>
      <c r="P108" s="52"/>
    </row>
    <row r="109" spans="1:16">
      <c r="C109" s="93"/>
      <c r="M109" t="s">
        <v>225</v>
      </c>
      <c r="N109" s="19" t="s">
        <v>38</v>
      </c>
      <c r="O109" s="69">
        <f>O108-O107</f>
        <v>1.4499999999999999E-2</v>
      </c>
      <c r="P109" s="52"/>
    </row>
    <row r="110" spans="1:16">
      <c r="C110" s="93"/>
      <c r="M110" s="94" t="s">
        <v>226</v>
      </c>
      <c r="N110" t="s">
        <v>7</v>
      </c>
      <c r="O110" s="51">
        <f>SUM(AK17:AK46)</f>
        <v>284.59058385963715</v>
      </c>
      <c r="P110" s="52"/>
    </row>
    <row r="112" spans="1:16" s="254" customFormat="1" ht="15" customHeight="1" thickBot="1">
      <c r="B112" s="254" t="s">
        <v>227</v>
      </c>
      <c r="I112" s="255"/>
    </row>
    <row r="113" ht="19" hidden="1" customHeight="1" thickTop="1"/>
  </sheetData>
  <phoneticPr fontId="2"/>
  <dataValidations count="2">
    <dataValidation type="list" showInputMessage="1" showErrorMessage="1" sqref="F13" xr:uid="{00000000-0002-0000-0600-000000000000}">
      <formula1>$O$13:$Q$13</formula1>
    </dataValidation>
    <dataValidation type="list" showInputMessage="1" showErrorMessage="1" sqref="F47" xr:uid="{00000000-0002-0000-0600-000001000000}">
      <formula1>$G$47:$G$48</formula1>
    </dataValidation>
  </dataValidations>
  <pageMargins left="0.23622047244094491" right="0.23622047244094491" top="0.74803149606299213" bottom="0.74803149606299213" header="0.31496062992125978" footer="0.31496062992125978"/>
  <pageSetup paperSize="8" scale="42" fitToWidth="0" orientation="landscape"/>
  <colBreaks count="2" manualBreakCount="2">
    <brk id="21" max="1048575" man="1"/>
    <brk id="5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A1:AW40"/>
  <sheetViews>
    <sheetView showGridLines="0" zoomScale="70" zoomScaleNormal="70" workbookViewId="0">
      <selection activeCell="H29" sqref="H29"/>
    </sheetView>
  </sheetViews>
  <sheetFormatPr baseColWidth="10" defaultColWidth="0" defaultRowHeight="20" zeroHeight="1"/>
  <cols>
    <col min="1" max="3" width="9" style="73" customWidth="1"/>
    <col min="4" max="4" width="12" style="73" customWidth="1"/>
    <col min="5" max="5" width="12.33203125" style="73" customWidth="1"/>
    <col min="6" max="6" width="10.6640625" style="73" customWidth="1"/>
    <col min="7" max="8" width="9" style="73" customWidth="1"/>
    <col min="9" max="9" width="1.6640625" style="73" customWidth="1"/>
    <col min="10" max="11" width="9" style="73" customWidth="1"/>
    <col min="12" max="12" width="1.6640625" style="73" customWidth="1"/>
    <col min="13" max="14" width="9" style="73" customWidth="1"/>
    <col min="15" max="15" width="1.5" style="73" customWidth="1"/>
    <col min="16" max="17" width="9" style="73" customWidth="1"/>
    <col min="18" max="18" width="2.6640625" style="73" customWidth="1"/>
    <col min="19" max="24" width="9" style="73" customWidth="1"/>
    <col min="25" max="25" width="53.1640625" style="73" bestFit="1" customWidth="1"/>
    <col min="26" max="26" width="11.33203125" style="73" customWidth="1"/>
    <col min="27" max="27" width="10.33203125" style="73" customWidth="1"/>
    <col min="28" max="28" width="1.6640625" style="73" customWidth="1"/>
    <col min="29" max="29" width="10.33203125" style="73" customWidth="1"/>
    <col min="30" max="30" width="1.6640625" style="73" customWidth="1"/>
    <col min="31" max="31" width="10.33203125" style="73" customWidth="1"/>
    <col min="32" max="32" width="1.6640625" style="73" customWidth="1"/>
    <col min="33" max="33" width="10.33203125" style="73" customWidth="1"/>
    <col min="34" max="34" width="1.6640625" style="73" customWidth="1"/>
    <col min="35" max="35" width="10.33203125" style="73" customWidth="1"/>
    <col min="36" max="36" width="9" style="73" customWidth="1"/>
    <col min="37" max="49" width="0" style="73" hidden="1" customWidth="1"/>
    <col min="50" max="50" width="9" style="73" hidden="1" customWidth="1"/>
    <col min="51" max="16384" width="9" style="73" hidden="1"/>
  </cols>
  <sheetData>
    <row r="1" spans="1:36" ht="15" customHeight="1"/>
    <row r="2" spans="1:36" ht="15" customHeight="1"/>
    <row r="3" spans="1:36" s="75" customFormat="1" ht="33" customHeight="1">
      <c r="A3" s="89" t="s">
        <v>242</v>
      </c>
    </row>
    <row r="4" spans="1:36" ht="33" customHeight="1">
      <c r="A4" s="88" t="s">
        <v>243</v>
      </c>
      <c r="X4" s="88" t="s">
        <v>244</v>
      </c>
    </row>
    <row r="5" spans="1:36" ht="33" customHeight="1">
      <c r="A5" s="88"/>
      <c r="F5" s="73" t="s">
        <v>34</v>
      </c>
      <c r="X5" s="88"/>
      <c r="Z5" s="73" t="s">
        <v>34</v>
      </c>
    </row>
    <row r="6" spans="1:36">
      <c r="B6" s="74" t="s">
        <v>245</v>
      </c>
    </row>
    <row r="7" spans="1:36">
      <c r="A7" s="74"/>
      <c r="B7" s="74"/>
      <c r="C7" s="74" t="s">
        <v>246</v>
      </c>
      <c r="G7" s="287" t="s">
        <v>266</v>
      </c>
      <c r="H7" s="288"/>
      <c r="J7" s="287"/>
      <c r="K7" s="288"/>
      <c r="M7" s="287"/>
      <c r="N7" s="288"/>
      <c r="P7" s="287"/>
      <c r="Q7" s="288"/>
      <c r="S7" s="287"/>
      <c r="T7" s="288"/>
      <c r="AA7" s="184" t="str">
        <f>IF(G7="","",G7)</f>
        <v>BTO</v>
      </c>
      <c r="AC7" s="184" t="str">
        <f>IF(J7="","",J7)</f>
        <v/>
      </c>
      <c r="AE7" s="184" t="str">
        <f>IF(M7="","",M7)</f>
        <v/>
      </c>
      <c r="AG7" s="184" t="str">
        <f>IF(P7="","",P7)</f>
        <v/>
      </c>
      <c r="AI7" s="184" t="str">
        <f>IF(S7="","",S7)</f>
        <v/>
      </c>
    </row>
    <row r="8" spans="1:36">
      <c r="C8" s="74" t="s">
        <v>48</v>
      </c>
      <c r="F8" s="73" t="s">
        <v>91</v>
      </c>
      <c r="G8" s="182">
        <f>IFERROR(SUM(G9:G10),"-")</f>
        <v>23</v>
      </c>
      <c r="H8" s="183"/>
      <c r="J8" s="182">
        <f>IFERROR(SUM(J9:J10),"-")</f>
        <v>0</v>
      </c>
      <c r="K8" s="183"/>
      <c r="M8" s="182">
        <f>IFERROR(SUM(M9:M10),"-")</f>
        <v>0</v>
      </c>
      <c r="N8" s="183"/>
      <c r="P8" s="182">
        <f>IFERROR(SUM(P9:P10),"-")</f>
        <v>0</v>
      </c>
      <c r="Q8" s="183"/>
      <c r="S8" s="182">
        <f>IFERROR(SUM(S9:S10),"-")</f>
        <v>0</v>
      </c>
      <c r="T8" s="183"/>
      <c r="X8" s="74" t="s">
        <v>247</v>
      </c>
      <c r="Y8" s="74"/>
      <c r="Z8" s="74"/>
    </row>
    <row r="9" spans="1:36">
      <c r="D9" s="74" t="s">
        <v>90</v>
      </c>
      <c r="F9" s="73" t="s">
        <v>91</v>
      </c>
      <c r="G9" s="182">
        <f t="array" ref="G9">IFERROR(_xlfn.IFS(G$7="DB",DB!$F16,G$7="BT",BT!$F16,G$7="DBO",DBO!$F16,G$7="BTO",BTO!$F16,G$7="BOT/BOO",BOT・BOO!$F16),"-")</f>
        <v>3</v>
      </c>
      <c r="H9" s="183"/>
      <c r="J9" s="182" t="str">
        <f t="array" ref="J9">IFERROR(_xlfn.IFS(J$7="DB",DB!$F16,J$7="BT",BT!$F16,J$7="DBO",DBO!$F16,J$7="BTO",BTO!$F16,J$7="BOT/BOO",BOT・BOO!$F16),"-")</f>
        <v>-</v>
      </c>
      <c r="K9" s="183"/>
      <c r="M9" s="182" t="str">
        <f t="array" ref="M9">IFERROR(_xlfn.IFS(M$7="DB",DB!$F16,M$7="BT",BT!$F16,M$7="DBO",DBO!$F16,M$7="BTO",BTO!$F16,M$7="BOT/BOO",BOT・BOO!$F16),"-")</f>
        <v>-</v>
      </c>
      <c r="N9" s="183"/>
      <c r="P9" s="182" t="str">
        <f t="array" ref="P9">IFERROR(_xlfn.IFS(P$7="DB",DB!$F16,P$7="BT",BT!$F16,P$7="DBO",DBO!$F16,P$7="BTO",BTO!$F16,P$7="BOT/BOO",BOT・BOO!$F16),"-")</f>
        <v>-</v>
      </c>
      <c r="Q9" s="183"/>
      <c r="S9" s="182" t="str">
        <f t="array" ref="S9">IFERROR(_xlfn.IFS(S$7="DB",DB!$F16,S$7="BT",BT!$F16,S$7="DBO",DBO!$F16,S$7="BTO",BTO!$F16,S$7="BOT/BOO",BOT・BOO!$F16),"-")</f>
        <v>-</v>
      </c>
      <c r="T9" s="183"/>
      <c r="Y9" s="73" t="s">
        <v>248</v>
      </c>
      <c r="Z9" s="73" t="s">
        <v>7</v>
      </c>
      <c r="AA9" s="177">
        <f t="array" ref="AA9">IFERROR(_xlfn.IFS(G$7="DB",DB!$AJ58,G$7="BT",BT!$AJ58,G$7="DBO",DBO!$AJ58,G$7="BTO",BTO!$AJ58,G$7="BOT/BOO",BOT・BOO!$AJ58),"-")</f>
        <v>-2776.125</v>
      </c>
      <c r="AC9" s="177" t="str">
        <f t="array" ref="AC9">IFERROR(_xlfn.IFS(J$7="DB",DB!$AJ58,J$7="BT",BT!$AJ58,J$7="DBO",DBO!$AJ58,J$7="BTO",BTO!$AJ58,J$7="BOT/BOO",BOT・BOO!$AJ58),"-")</f>
        <v>-</v>
      </c>
      <c r="AE9" s="177" t="str">
        <f t="array" ref="AE9">IFERROR(_xlfn.IFS(M$7="DB",DB!$AJ58,M$7="BT",BT!$AJ58,M$7="DBO",DBO!$AJ58,M$7="BTO",BTO!$AJ58,M$7="BOT/BOO",BOT・BOO!$AJ58),"-")</f>
        <v>-</v>
      </c>
      <c r="AG9" s="177" t="str">
        <f t="array" ref="AG9">IFERROR(_xlfn.IFS(P$7="DB",DB!$AJ58,P$7="BT",BT!$AJ58,P$7="DBO",DBO!$AJ58,P$7="BTO",BTO!$AJ58,P$7="BOT/BOO",BOT・BOO!$AJ58),"-")</f>
        <v>-</v>
      </c>
      <c r="AI9" s="177" t="str">
        <f t="array" ref="AI9">IFERROR(_xlfn.IFS(S$7="DB",DB!$AJ58,S$7="BT",BT!$AJ58,S$7="DBO",DBO!$AJ58,S$7="BTO",BTO!$AJ58,S$7="BOT/BOO",BOT・BOO!$AJ58),"-")</f>
        <v>-</v>
      </c>
    </row>
    <row r="10" spans="1:36">
      <c r="D10" s="74" t="s">
        <v>93</v>
      </c>
      <c r="F10" s="73" t="s">
        <v>91</v>
      </c>
      <c r="G10" s="182">
        <f t="array" ref="G10">IFERROR(_xlfn.IFS(G$7="DB",DB!$F17,G$7="BT",BT!$F17,G$7="DBO",DBO!$F17,G$7="BTO",BTO!$F17,G$7="BOT/BOO",BOT・BOO!$F17),"-")</f>
        <v>20</v>
      </c>
      <c r="H10" s="183"/>
      <c r="J10" s="182" t="str">
        <f t="array" ref="J10">IFERROR(_xlfn.IFS(J$7="DB",DB!$F17,J$7="BT",BT!$F17,J$7="DBO",DBO!$F17,J$7="BTO",BTO!$F17,J$7="BOT/BOO",BOT・BOO!$F17),"-")</f>
        <v>-</v>
      </c>
      <c r="K10" s="183"/>
      <c r="M10" s="182" t="str">
        <f t="array" ref="M10">IFERROR(_xlfn.IFS(M$7="DB",DB!$F17,M$7="BT",BT!$F17,M$7="DBO",DBO!$F17,M$7="BTO",BTO!$F17,M$7="BOT/BOO",BOT・BOO!$F17),"-")</f>
        <v>-</v>
      </c>
      <c r="N10" s="183"/>
      <c r="P10" s="182" t="str">
        <f t="array" ref="P10">IFERROR(_xlfn.IFS(P$7="DB",DB!$F17,P$7="BT",BT!$F17,P$7="DBO",DBO!$F17,P$7="BTO",BTO!$F17,P$7="BOT/BOO",BOT・BOO!$F17),"-")</f>
        <v>-</v>
      </c>
      <c r="Q10" s="183"/>
      <c r="S10" s="182" t="str">
        <f t="array" ref="S10">IFERROR(_xlfn.IFS(S$7="DB",DB!$F17,S$7="BT",BT!$F17,S$7="DBO",DBO!$F17,S$7="BTO",BTO!$F17,S$7="BOT/BOO",BOT・BOO!$F17),"-")</f>
        <v>-</v>
      </c>
      <c r="T10" s="183"/>
      <c r="Y10" s="73" t="s">
        <v>249</v>
      </c>
      <c r="Z10" s="73" t="s">
        <v>7</v>
      </c>
      <c r="AA10" s="177">
        <f t="array" ref="AA10">IFERROR(_xlfn.IFS(G$7="DB",DB!$AM58,G$7="BT",BT!$AM58,G$7="DBO",DBO!$AM58,G$7="BTO",BTO!$AM58,G$7="BOT/BOO",BOT・BOO!$AM58),"-")</f>
        <v>-3140.0729352319427</v>
      </c>
      <c r="AC10" s="177" t="str">
        <f t="array" ref="AC10">IFERROR(_xlfn.IFS(J$7="DB",DB!$AM58,J$7="BT",BT!$AM58,J$7="DBO",DBO!$AM58,J$7="BTO",BTO!$AM58,J$7="BOT/BOO",BOT・BOO!$AM58),"-")</f>
        <v>-</v>
      </c>
      <c r="AE10" s="177" t="str">
        <f t="array" ref="AE10">IFERROR(_xlfn.IFS(M$7="DB",DB!$AM58,M$7="BT",BT!$AM58,M$7="DBO",DBO!$AM58,M$7="BTO",BTO!$AM58,M$7="BOT/BOO",BOT・BOO!$AM58),"-")</f>
        <v>-</v>
      </c>
      <c r="AG10" s="177" t="str">
        <f t="array" ref="AG10">IFERROR(_xlfn.IFS(P$7="DB",DB!$AM58,P$7="BT",BT!$AM58,P$7="DBO",DBO!$AM58,P$7="BTO",BTO!$AM58,P$7="BOT/BOO",BOT・BOO!$AM58),"-")</f>
        <v>-</v>
      </c>
      <c r="AI10" s="177" t="str">
        <f t="array" ref="AI10">IFERROR(_xlfn.IFS(S$7="DB",DB!$AM58,S$7="BT",BT!$AM58,S$7="DBO",DBO!$AM58,S$7="BTO",BTO!$AM58,S$7="BOT/BOO",BOT・BOO!$AM58),"-")</f>
        <v>-</v>
      </c>
    </row>
    <row r="11" spans="1:36">
      <c r="D11" s="74"/>
      <c r="G11" s="198" t="s">
        <v>2</v>
      </c>
      <c r="H11" s="198" t="s">
        <v>50</v>
      </c>
      <c r="J11" s="198" t="s">
        <v>2</v>
      </c>
      <c r="K11" s="198" t="s">
        <v>50</v>
      </c>
      <c r="M11" s="198" t="s">
        <v>2</v>
      </c>
      <c r="N11" s="198" t="s">
        <v>50</v>
      </c>
      <c r="P11" s="198" t="s">
        <v>2</v>
      </c>
      <c r="Q11" s="198" t="s">
        <v>50</v>
      </c>
      <c r="S11" s="198" t="s">
        <v>2</v>
      </c>
      <c r="T11" s="198" t="s">
        <v>50</v>
      </c>
      <c r="AA11" s="179"/>
      <c r="AC11" s="179"/>
      <c r="AE11" s="179"/>
      <c r="AG11" s="179"/>
      <c r="AI11" s="179"/>
    </row>
    <row r="12" spans="1:36">
      <c r="C12" s="74" t="s">
        <v>250</v>
      </c>
      <c r="D12" s="74"/>
      <c r="F12" s="73" t="s">
        <v>7</v>
      </c>
      <c r="G12" s="139">
        <f t="array" ref="G12">IFERROR(_xlfn.IFS(G$7="DB",DB!$O29,G$7="BT",BT!$O29,G$7="DBO",DBO!$O29,G$7="BTO",BTO!$O29,G$7="BOT/BOO",BOT・BOO!$O29),"-")</f>
        <v>2850</v>
      </c>
      <c r="H12" s="139">
        <f t="array" ref="H12">IFERROR(_xlfn.IFS(G$7="DB",DB!$P29,G$7="BT",BT!$P29,G$7="DBO",DBO!$P29,G$7="BTO",BTO!$P29,G$7="BOT/BOO",BOT・BOO!$P29),"-")</f>
        <v>2850</v>
      </c>
      <c r="J12" s="139" t="str">
        <f t="array" ref="J12">IFERROR(_xlfn.IFS(J$7="DB",DB!$O29,J$7="BT",BT!$O29,J$7="DBO",DBO!$O29,J$7="BTO",BTO!$O29,J$7="BOT/BOO",BOT・BOO!$O29),"-")</f>
        <v>-</v>
      </c>
      <c r="K12" s="139" t="str">
        <f t="array" ref="K12">IFERROR(_xlfn.IFS(J$7="DB",DB!$P29,J$7="BT",BT!$P29,J$7="DBO",DBO!$P29,J$7="BTO",BTO!$P29,J$7="BOT/BOO",BOT・BOO!$P29),"-")</f>
        <v>-</v>
      </c>
      <c r="M12" s="139" t="str">
        <f t="array" ref="M12">IFERROR(_xlfn.IFS(M$7="DB",DB!$O29,M$7="BT",BT!$O29,M$7="DBO",DBO!$O29,M$7="BTO",BTO!$O29,M$7="BOT/BOO",BOT・BOO!$O29),"-")</f>
        <v>-</v>
      </c>
      <c r="N12" s="139" t="str">
        <f t="array" ref="N12">IFERROR(_xlfn.IFS(M$7="DB",DB!$P29,M$7="BT",BT!$P29,M$7="DBO",DBO!$P29,M$7="BTO",BTO!$P29,M$7="BOT/BOO",BOT・BOO!$P29),"-")</f>
        <v>-</v>
      </c>
      <c r="P12" s="139" t="str">
        <f t="array" ref="P12">IFERROR(_xlfn.IFS(P$7="DB",DB!$O29,P$7="BT",BT!$O29,P$7="DBO",DBO!$O29,P$7="BTO",BTO!$O29,P$7="BOT/BOO",BOT・BOO!$O29),"-")</f>
        <v>-</v>
      </c>
      <c r="Q12" s="139" t="str">
        <f t="array" ref="Q12">IFERROR(_xlfn.IFS(P$7="DB",DB!$P29,P$7="BT",BT!$P29,P$7="DBO",DBO!$P29,P$7="BTO",BTO!$P29,P$7="BOT/BOO",BOT・BOO!$P29),"-")</f>
        <v>-</v>
      </c>
      <c r="S12" s="139" t="str">
        <f t="array" ref="S12">IFERROR(_xlfn.IFS(S$7="DB",DB!$O29,S$7="BT",BT!$O29,S$7="DBO",DBO!$O29,S$7="BTO",BTO!$O29,S$7="BOT/BOO",BOT・BOO!$O29),"-")</f>
        <v>-</v>
      </c>
      <c r="T12" s="139" t="str">
        <f t="array" ref="T12">IFERROR(_xlfn.IFS(S$7="DB",DB!$P29,S$7="BT",BT!$P29,S$7="DBO",DBO!$P29,S$7="BTO",BTO!$P29,S$7="BOT/BOO",BOT・BOO!$P29),"-")</f>
        <v>-</v>
      </c>
      <c r="U12" s="208" t="s">
        <v>251</v>
      </c>
      <c r="X12" s="74" t="s">
        <v>252</v>
      </c>
      <c r="AA12" s="179"/>
      <c r="AC12" s="179"/>
      <c r="AE12" s="179"/>
      <c r="AG12" s="179"/>
      <c r="AI12" s="179"/>
    </row>
    <row r="13" spans="1:36">
      <c r="C13" s="74" t="s">
        <v>253</v>
      </c>
      <c r="D13" s="74"/>
      <c r="G13" s="198" t="s">
        <v>2</v>
      </c>
      <c r="H13" s="198" t="s">
        <v>50</v>
      </c>
      <c r="J13" s="198" t="s">
        <v>2</v>
      </c>
      <c r="K13" s="198" t="s">
        <v>50</v>
      </c>
      <c r="M13" s="198" t="s">
        <v>2</v>
      </c>
      <c r="N13" s="198" t="s">
        <v>50</v>
      </c>
      <c r="P13" s="198" t="s">
        <v>2</v>
      </c>
      <c r="Q13" s="198" t="s">
        <v>50</v>
      </c>
      <c r="S13" s="198" t="s">
        <v>2</v>
      </c>
      <c r="T13" s="198" t="s">
        <v>50</v>
      </c>
      <c r="U13" s="208"/>
      <c r="Y13" s="73" t="s">
        <v>254</v>
      </c>
      <c r="Z13" s="73" t="s">
        <v>7</v>
      </c>
      <c r="AA13" s="177">
        <f t="array" ref="AA13">IFERROR(_xlfn.IFS(G$7="DB",DB!$BC58,G$7="BT",BT!$BC58,G$7="DBO",DBO!$BC58,G$7="BTO",BTO!$BC58,G$7="BOT/BOO",BOT・BOO!$BC58),"-")</f>
        <v>-4161.8907652444213</v>
      </c>
      <c r="AC13" s="177" t="str">
        <f t="array" ref="AC13">IFERROR(_xlfn.IFS(J$7="DB",DB!$BC58,J$7="BT",BT!$BC58,J$7="DBO",DBO!$BC58,J$7="BTO",BTO!$BC58,J$7="BOT/BOO",BOT・BOO!$BC58),"-")</f>
        <v>-</v>
      </c>
      <c r="AE13" s="177" t="str">
        <f t="array" ref="AE13">IFERROR(_xlfn.IFS(M$7="DB",DB!$BC58,M$7="BT",BT!$BC58,M$7="DBO",DBO!$BC58,M$7="BTO",BTO!$BC58,M$7="BOT/BOO",BOT・BOO!$BC58),"-")</f>
        <v>-</v>
      </c>
      <c r="AG13" s="177" t="str">
        <f t="array" ref="AG13">IFERROR(_xlfn.IFS(P$7="DB",DB!$BC58,P$7="BT",BT!$BC58,P$7="DBO",DBO!$BC58,P$7="BTO",BTO!$BC58,P$7="BOT/BOO",BOT・BOO!$BC58),"-")</f>
        <v>-</v>
      </c>
      <c r="AI13" s="177" t="str">
        <f t="array" ref="AI13">IFERROR(_xlfn.IFS(S$7="DB",DB!$BC58,S$7="BT",BT!$BC58,S$7="DBO",DBO!$BC58,S$7="BTO",BTO!$BC58,S$7="BOT/BOO",BOT・BOO!$BC58),"-")</f>
        <v>-</v>
      </c>
      <c r="AJ13" s="178"/>
    </row>
    <row r="14" spans="1:36">
      <c r="C14" s="74"/>
      <c r="D14" s="74" t="s">
        <v>255</v>
      </c>
      <c r="F14" s="73" t="s">
        <v>7</v>
      </c>
      <c r="G14" s="77">
        <f t="array" ref="G14">IFERROR(_xlfn.IFS(G$7="DB",DB!$O43,G$7="BT",BT!$O43,G$7="DBO",DBO!$O43,G$7="BTO",BTO!$O43,G$7="BOT/BOO",BOT・BOO!$O43),"-")</f>
        <v>50</v>
      </c>
      <c r="H14" s="77">
        <f t="array" ref="H14">IFERROR(_xlfn.IFS(G$7="DB",DB!$P43,G$7="BT",BT!$P43,G$7="DBO",DBO!$P43,G$7="BTO",BTO!$P43,G$7="BOT/BOO",BOT・BOO!$P43),"-")</f>
        <v>47.5</v>
      </c>
      <c r="I14" s="256"/>
      <c r="J14" s="77" t="str">
        <f t="array" ref="J14">IFERROR(_xlfn.IFS(J$7="DB",DB!$O43,J$7="BT",BT!$O43,J$7="DBO",DBO!$O43,J$7="BTO",BTO!$O43,J$7="BOT/BOO",BOT・BOO!$O43),"-")</f>
        <v>-</v>
      </c>
      <c r="K14" s="77" t="str">
        <f t="array" ref="K14">IFERROR(_xlfn.IFS(J$7="DB",DB!$P43,J$7="BT",BT!$P43,J$7="DBO",DBO!$P43,J$7="BTO",BTO!$P43,J$7="BOT/BOO",BOT・BOO!$P43),"-")</f>
        <v>-</v>
      </c>
      <c r="L14" s="256"/>
      <c r="M14" s="77" t="str">
        <f t="array" ref="M14">IFERROR(_xlfn.IFS(M$7="DB",DB!$O43,M$7="BT",BT!$O43,M$7="DBO",DBO!$O43,M$7="BTO",BTO!$O43,M$7="BOT/BOO",BOT・BOO!$O43),"-")</f>
        <v>-</v>
      </c>
      <c r="N14" s="77" t="str">
        <f t="array" ref="N14">IFERROR(_xlfn.IFS(M$7="DB",DB!$P43,M$7="BT",BT!$P43,M$7="DBO",DBO!$P43,M$7="BTO",BTO!$P43,M$7="BOT/BOO",BOT・BOO!$P43),"-")</f>
        <v>-</v>
      </c>
      <c r="O14" s="256"/>
      <c r="P14" s="77" t="str">
        <f t="array" ref="P14">IFERROR(_xlfn.IFS(P$7="DB",DB!$O43,P$7="BT",BT!$O43,P$7="DBO",DBO!$O43,P$7="BTO",BTO!$O43,P$7="BOT/BOO",BOT・BOO!$O43),"-")</f>
        <v>-</v>
      </c>
      <c r="Q14" s="77" t="str">
        <f t="array" ref="Q14">IFERROR(_xlfn.IFS(P$7="DB",DB!$P43,P$7="BT",BT!$P43,P$7="DBO",DBO!$P43,P$7="BTO",BTO!$P43,P$7="BOT/BOO",BOT・BOO!$P43),"-")</f>
        <v>-</v>
      </c>
      <c r="R14" s="256"/>
      <c r="S14" s="77" t="str">
        <f t="array" ref="S14">IFERROR(_xlfn.IFS(S$7="DB",DB!$O43,S$7="BT",BT!$O43,S$7="DBO",DBO!$O43,S$7="BTO",BTO!$O43,S$7="BOT/BOO",BOT・BOO!$O43),"-")</f>
        <v>-</v>
      </c>
      <c r="T14" s="77" t="str">
        <f t="array" ref="T14">IFERROR(_xlfn.IFS(S$7="DB",DB!$P43,S$7="BT",BT!$P43,S$7="DBO",DBO!$P43,S$7="BTO",BTO!$P43,S$7="BOT/BOO",BOT・BOO!$P43),"-")</f>
        <v>-</v>
      </c>
      <c r="U14" s="208" t="s">
        <v>251</v>
      </c>
      <c r="X14" s="74"/>
      <c r="Y14" s="73" t="s">
        <v>256</v>
      </c>
      <c r="Z14" s="73" t="s">
        <v>7</v>
      </c>
      <c r="AA14" s="177">
        <f t="array" ref="AA14">IFERROR(_xlfn.IFS(G$7="DB",DB!$BD58,G$7="BT",BT!$BD58,G$7="DBO",DBO!$BD58,G$7="BTO",BTO!$BD58,G$7="BOT/BOO",BOT・BOO!$BD58),"-")</f>
        <v>-2806.1942071403137</v>
      </c>
      <c r="AC14" s="177" t="str">
        <f t="array" ref="AC14">IFERROR(_xlfn.IFS(J$7="DB",DB!$BD58,J$7="BT",BT!$BD58,J$7="DBO",DBO!$BD58,J$7="BTO",BTO!$BD58,J$7="BOT/BOO",BOT・BOO!$BD58),"-")</f>
        <v>-</v>
      </c>
      <c r="AE14" s="177" t="str">
        <f t="array" ref="AE14">IFERROR(_xlfn.IFS(M$7="DB",DB!$BD58,M$7="BT",BT!$BD58,M$7="DBO",DBO!$BD58,M$7="BTO",BTO!$BD58,M$7="BOT/BOO",BOT・BOO!$BD58),"-")</f>
        <v>-</v>
      </c>
      <c r="AG14" s="177" t="str">
        <f t="array" ref="AG14">IFERROR(_xlfn.IFS(P$7="DB",DB!$BD58,P$7="BT",BT!$BD58,P$7="DBO",DBO!$BD58,P$7="BTO",BTO!$BD58,P$7="BOT/BOO",BOT・BOO!$BD58),"-")</f>
        <v>-</v>
      </c>
      <c r="AI14" s="177" t="str">
        <f t="array" ref="AI14">IFERROR(_xlfn.IFS(S$7="DB",DB!$BD58,S$7="BT",BT!$BD58,S$7="DBO",DBO!$BD58,S$7="BTO",BTO!$BD58,S$7="BOT/BOO",BOT・BOO!$BD58),"-")</f>
        <v>-</v>
      </c>
      <c r="AJ14" s="178"/>
    </row>
    <row r="15" spans="1:36">
      <c r="C15" s="74"/>
      <c r="D15" s="74" t="s">
        <v>257</v>
      </c>
      <c r="F15" s="73" t="s">
        <v>7</v>
      </c>
      <c r="G15" s="77">
        <f t="array" ref="G15">IFERROR(_xlfn.IFS(G$7="DB",DB!$O44,G$7="BT",BT!$O44,G$7="DBO",DBO!$O44,G$7="BTO",BTO!$O44,G$7="BOT/BOO",BOT・BOO!$O44),"-")</f>
        <v>1000</v>
      </c>
      <c r="H15" s="77">
        <f t="array" ref="H15">IFERROR(_xlfn.IFS(G$7="DB",DB!$P44,G$7="BT",BT!$P44,G$7="DBO",DBO!$P44,G$7="BTO",BTO!$P44,G$7="BOT/BOO",BOT・BOO!$P44),"-")</f>
        <v>950</v>
      </c>
      <c r="I15" s="256"/>
      <c r="J15" s="77" t="str">
        <f t="array" ref="J15">IFERROR(_xlfn.IFS(J$7="DB",DB!$O44,J$7="BT",BT!$O44,J$7="DBO",DBO!$O44,J$7="BTO",BTO!$O44,J$7="BOT/BOO",BOT・BOO!$O44),"-")</f>
        <v>-</v>
      </c>
      <c r="K15" s="77" t="str">
        <f t="array" ref="K15">IFERROR(_xlfn.IFS(J$7="DB",DB!$P44,J$7="BT",BT!$P44,J$7="DBO",DBO!$P44,J$7="BTO",BTO!$P44,J$7="BOT/BOO",BOT・BOO!$P44),"-")</f>
        <v>-</v>
      </c>
      <c r="L15" s="256"/>
      <c r="M15" s="77" t="str">
        <f t="array" ref="M15">IFERROR(_xlfn.IFS(M$7="DB",DB!$O44,M$7="BT",BT!$O44,M$7="DBO",DBO!$O44,M$7="BTO",BTO!$O44,M$7="BOT/BOO",BOT・BOO!$O44),"-")</f>
        <v>-</v>
      </c>
      <c r="N15" s="77" t="str">
        <f t="array" ref="N15">IFERROR(_xlfn.IFS(M$7="DB",DB!$P44,M$7="BT",BT!$P44,M$7="DBO",DBO!$P44,M$7="BTO",BTO!$P44,M$7="BOT/BOO",BOT・BOO!$P44),"-")</f>
        <v>-</v>
      </c>
      <c r="O15" s="256"/>
      <c r="P15" s="77" t="str">
        <f t="array" ref="P15">IFERROR(_xlfn.IFS(P$7="DB",DB!$O44,P$7="BT",BT!$O44,P$7="DBO",DBO!$O44,P$7="BTO",BTO!$O44,P$7="BOT/BOO",BOT・BOO!$O44),"-")</f>
        <v>-</v>
      </c>
      <c r="Q15" s="77" t="str">
        <f t="array" ref="Q15">IFERROR(_xlfn.IFS(P$7="DB",DB!$P44,P$7="BT",BT!$P44,P$7="DBO",DBO!$P44,P$7="BTO",BTO!$P44,P$7="BOT/BOO",BOT・BOO!$P44),"-")</f>
        <v>-</v>
      </c>
      <c r="R15" s="256"/>
      <c r="S15" s="77" t="str">
        <f t="array" ref="S15">IFERROR(_xlfn.IFS(S$7="DB",DB!$O44,S$7="BT",BT!$O44,S$7="DBO",DBO!$O44,S$7="BTO",BTO!$O44,S$7="BOT/BOO",BOT・BOO!$O44),"-")</f>
        <v>-</v>
      </c>
      <c r="T15" s="77" t="str">
        <f t="array" ref="T15">IFERROR(_xlfn.IFS(S$7="DB",DB!$P44,S$7="BT",BT!$P44,S$7="DBO",DBO!$P44,S$7="BTO",BTO!$P44,S$7="BOT/BOO",BOT・BOO!$P44),"-")</f>
        <v>-</v>
      </c>
      <c r="Y15" s="74"/>
      <c r="Z15" s="74"/>
      <c r="AJ15" s="178"/>
    </row>
    <row r="16" spans="1:36">
      <c r="B16" s="74" t="s">
        <v>258</v>
      </c>
      <c r="X16" s="74" t="s">
        <v>32</v>
      </c>
      <c r="Z16" s="74"/>
      <c r="AJ16" s="178"/>
    </row>
    <row r="17" spans="2:36">
      <c r="B17" s="74"/>
      <c r="C17" s="74" t="s">
        <v>259</v>
      </c>
      <c r="D17" s="74"/>
      <c r="G17" s="198" t="s">
        <v>2</v>
      </c>
      <c r="H17" s="198" t="s">
        <v>50</v>
      </c>
      <c r="J17" s="198" t="s">
        <v>2</v>
      </c>
      <c r="K17" s="198" t="s">
        <v>50</v>
      </c>
      <c r="M17" s="198" t="s">
        <v>2</v>
      </c>
      <c r="N17" s="198" t="s">
        <v>50</v>
      </c>
      <c r="P17" s="198" t="s">
        <v>2</v>
      </c>
      <c r="Q17" s="198" t="s">
        <v>50</v>
      </c>
      <c r="S17" s="198" t="s">
        <v>2</v>
      </c>
      <c r="T17" s="198" t="s">
        <v>50</v>
      </c>
      <c r="Y17" s="74" t="s">
        <v>260</v>
      </c>
      <c r="Z17" s="74" t="s">
        <v>38</v>
      </c>
      <c r="AA17" s="78">
        <f t="array" ref="AA17">IFERROR(_xlfn.IFS(G$7="DB",DB!$Y11,G$7="BT",BT!$Y11,G$7="DBO",DBO!$Y11,G$7="BTO",BTO!$Y11,G$7="BOT/BOO",BOT・BOO!$Y11),"-")</f>
        <v>0.10632833535344838</v>
      </c>
      <c r="AC17" s="78" t="str">
        <f t="array" ref="AC17">IFERROR(_xlfn.IFS(J$7="DB",DB!$Y11,J$7="BT",BT!$Y11,J$7="DBO",DBO!$Y11,J$7="BTO",BTO!$Y11,J$7="BOT/BOO",BOT・BOO!$Y11),"-")</f>
        <v>-</v>
      </c>
      <c r="AE17" s="207" t="str">
        <f t="array" ref="AE17">IFERROR(_xlfn.IFS(M$7="DB",DB!$Y11,M$7="BT",BT!$Y11,M$7="DBO",DBO!$Y11,M$7="BTO",BTO!$Y11,M$7="BOT/BOO",BOT・BOO!$Y11),"-")</f>
        <v>-</v>
      </c>
      <c r="AF17" s="76"/>
      <c r="AG17" s="207" t="str">
        <f t="array" ref="AG17">IFERROR(_xlfn.IFS(P$7="DB",DB!$Y11,P$7="BT",BT!$Y11,P$7="DBO",DBO!$Y11,P$7="BTO",BTO!$Y11,P$7="BOT/BOO",BOT・BOO!$Y11),"-")</f>
        <v>-</v>
      </c>
      <c r="AH17" s="76"/>
      <c r="AI17" s="207" t="str">
        <f t="array" ref="AI17">IFERROR(_xlfn.IFS(S$7="DB",DB!$Y11,S$7="BT",BT!$Y11,S$7="DBO",DBO!$Y11,S$7="BTO",BTO!$Y11,S$7="BOT/BOO",BOT・BOO!$Y11),"-")</f>
        <v>-</v>
      </c>
      <c r="AJ17" s="178"/>
    </row>
    <row r="18" spans="2:36">
      <c r="D18" s="74"/>
      <c r="E18" s="76" t="s">
        <v>108</v>
      </c>
      <c r="F18" s="73" t="s">
        <v>38</v>
      </c>
      <c r="G18" s="78">
        <f t="array" ref="G18">IFERROR(_xlfn.IFS(G$7="DB",DB!$E32,G$7="BT",BT!$E32,G$7="DBO",DBO!$E32,G$7="BTO",BTO!$E32,G$7="BOT/BOO",BOT・BOO!$E32),"-")</f>
        <v>1</v>
      </c>
      <c r="H18" s="78">
        <f t="array" ref="H18">IFERROR(_xlfn.IFS(G$7="DB",DB!$F32,G$7="BT",BT!$F32,G$7="DBO",DBO!$F32,G$7="BTO",BTO!$F32,G$7="BOT/BOO",BOT・BOO!$F32),"-")</f>
        <v>0.5</v>
      </c>
      <c r="J18" s="78" t="str">
        <f t="array" ref="J18">IFERROR(_xlfn.IFS(J$7="DB",DB!$E32,J$7="BT",BT!$E32,J$7="DBO",DBO!$E32,J$7="BTO",BTO!$E32,J$7="BOT/BOO",BOT・BOO!$E32),"-")</f>
        <v>-</v>
      </c>
      <c r="K18" s="78" t="str">
        <f t="array" ref="K18">IFERROR(_xlfn.IFS(J$7="DB",DB!$F32,J$7="BT",BT!$F32,J$7="DBO",DBO!$F32,J$7="BTO",BTO!$F32,J$7="BOT/BOO",BOT・BOO!$F32),"-")</f>
        <v>-</v>
      </c>
      <c r="M18" s="78" t="str">
        <f t="array" ref="M18">IFERROR(_xlfn.IFS(M$7="DB",DB!$E32,M$7="BT",BT!$E32,M$7="DBO",DBO!$E32,M$7="BTO",BTO!$E32,M$7="BOT/BOO",BOT・BOO!$E32),"-")</f>
        <v>-</v>
      </c>
      <c r="N18" s="78" t="str">
        <f t="array" ref="N18">IFERROR(_xlfn.IFS(M$7="DB",DB!$F32,M$7="BT",BT!$F32,M$7="DBO",DBO!$F32,M$7="BTO",BTO!$F32,M$7="BOT/BOO",BOT・BOO!$F32),"-")</f>
        <v>-</v>
      </c>
      <c r="O18" s="76"/>
      <c r="P18" s="78" t="str">
        <f t="array" ref="P18">IFERROR(_xlfn.IFS(P$7="DB",DB!$E32,P$7="BT",BT!$E32,P$7="DBO",DBO!$E32,P$7="BTO",BTO!$E32,P$7="BOT/BOO",BOT・BOO!$E32),"-")</f>
        <v>-</v>
      </c>
      <c r="Q18" s="78" t="str">
        <f t="array" ref="Q18">IFERROR(_xlfn.IFS(P$7="DB",DB!$F32,P$7="BT",BT!$F32,P$7="DBO",DBO!$F32,P$7="BTO",BTO!$F32,P$7="BOT/BOO",BOT・BOO!$F32),"-")</f>
        <v>-</v>
      </c>
      <c r="R18" s="76"/>
      <c r="S18" s="78" t="str">
        <f t="array" ref="S18">IFERROR(_xlfn.IFS(S$7="DB",DB!$E32,S$7="BT",BT!$E32,S$7="DBO",DBO!$E32,S$7="BTO",BTO!$E32,S$7="BOT/BOO",BOT・BOO!$E32),"-")</f>
        <v>-</v>
      </c>
      <c r="T18" s="78" t="str">
        <f t="array" ref="T18">IFERROR(_xlfn.IFS(S$7="DB",DB!$F32,S$7="BT",BT!$F32,S$7="DBO",DBO!$F32,S$7="BTO",BTO!$F32,S$7="BOT/BOO",BOT・BOO!$F32),"-")</f>
        <v>-</v>
      </c>
      <c r="AJ18" s="178"/>
    </row>
    <row r="19" spans="2:36">
      <c r="C19" s="74"/>
      <c r="D19" s="74"/>
      <c r="E19" s="76" t="s">
        <v>110</v>
      </c>
      <c r="F19" s="73" t="s">
        <v>38</v>
      </c>
      <c r="G19" s="78">
        <f t="array" ref="G19">IFERROR(_xlfn.IFS(G$7="DB",DB!$E33,G$7="BT",BT!$E33,G$7="DBO",DBO!$E33,G$7="BTO",BTO!$E33,G$7="BOT/BOO",BOT・BOO!$E33),"-")</f>
        <v>0</v>
      </c>
      <c r="H19" s="78">
        <f t="array" ref="H19">IFERROR(_xlfn.IFS(G$7="DB",DB!$F33,G$7="BT",BT!$F33,G$7="DBO",DBO!$F33,G$7="BTO",BTO!$F33,G$7="BOT/BOO",BOT・BOO!$F33),"-")</f>
        <v>0.5</v>
      </c>
      <c r="J19" s="78" t="str">
        <f t="array" ref="J19">IFERROR(_xlfn.IFS(J$7="DB",DB!$E33,J$7="BT",BT!$E33,J$7="DBO",DBO!$E33,J$7="BTO",BTO!$E33,J$7="BOT/BOO",BOT・BOO!$E33),"-")</f>
        <v>-</v>
      </c>
      <c r="K19" s="78" t="str">
        <f t="array" ref="K19">IFERROR(_xlfn.IFS(J$7="DB",DB!$F33,J$7="BT",BT!$F33,J$7="DBO",DBO!$F33,J$7="BTO",BTO!$F33,J$7="BOT/BOO",BOT・BOO!$F33),"-")</f>
        <v>-</v>
      </c>
      <c r="M19" s="78" t="str">
        <f t="array" ref="M19">IFERROR(_xlfn.IFS(M$7="DB",DB!$E33,M$7="BT",BT!$E33,M$7="DBO",DBO!$E33,M$7="BTO",BTO!$E33,M$7="BOT/BOO",BOT・BOO!$E33),"-")</f>
        <v>-</v>
      </c>
      <c r="N19" s="78" t="str">
        <f t="array" ref="N19">IFERROR(_xlfn.IFS(M$7="DB",DB!$F33,M$7="BT",BT!$F33,M$7="DBO",DBO!$F33,M$7="BTO",BTO!$F33,M$7="BOT/BOO",BOT・BOO!$F33),"-")</f>
        <v>-</v>
      </c>
      <c r="O19" s="76"/>
      <c r="P19" s="78" t="str">
        <f t="array" ref="P19">IFERROR(_xlfn.IFS(P$7="DB",DB!$E33,P$7="BT",BT!$E33,P$7="DBO",DBO!$E33,P$7="BTO",BTO!$E33,P$7="BOT/BOO",BOT・BOO!$E33),"-")</f>
        <v>-</v>
      </c>
      <c r="Q19" s="78" t="str">
        <f t="array" ref="Q19">IFERROR(_xlfn.IFS(P$7="DB",DB!$F33,P$7="BT",BT!$F33,P$7="DBO",DBO!$F33,P$7="BTO",BTO!$F33,P$7="BOT/BOO",BOT・BOO!$F33),"-")</f>
        <v>-</v>
      </c>
      <c r="R19" s="76"/>
      <c r="S19" s="78" t="str">
        <f t="array" ref="S19">IFERROR(_xlfn.IFS(S$7="DB",DB!$E33,S$7="BT",BT!$E33,S$7="DBO",DBO!$E33,S$7="BTO",BTO!$E33,S$7="BOT/BOO",BOT・BOO!$E33),"-")</f>
        <v>-</v>
      </c>
      <c r="T19" s="78" t="str">
        <f t="array" ref="T19">IFERROR(_xlfn.IFS(S$7="DB",DB!$F33,S$7="BT",BT!$F33,S$7="DBO",DBO!$F33,S$7="BTO",BTO!$F33,S$7="BOT/BOO",BOT・BOO!$F33),"-")</f>
        <v>-</v>
      </c>
    </row>
    <row r="20" spans="2:36">
      <c r="C20" s="74" t="s">
        <v>261</v>
      </c>
      <c r="D20" s="74"/>
      <c r="G20" s="198" t="s">
        <v>2</v>
      </c>
      <c r="H20" s="198" t="s">
        <v>50</v>
      </c>
      <c r="J20" s="198" t="s">
        <v>2</v>
      </c>
      <c r="K20" s="198" t="s">
        <v>50</v>
      </c>
      <c r="M20" s="198" t="s">
        <v>2</v>
      </c>
      <c r="N20" s="198" t="s">
        <v>50</v>
      </c>
      <c r="P20" s="198" t="s">
        <v>2</v>
      </c>
      <c r="Q20" s="198" t="s">
        <v>50</v>
      </c>
      <c r="S20" s="198" t="s">
        <v>2</v>
      </c>
      <c r="T20" s="198" t="s">
        <v>50</v>
      </c>
      <c r="X20" s="196"/>
    </row>
    <row r="21" spans="2:36">
      <c r="C21" s="74"/>
      <c r="D21" s="74" t="s">
        <v>62</v>
      </c>
      <c r="F21" s="73" t="s">
        <v>7</v>
      </c>
      <c r="G21" s="77">
        <f t="array" ref="G21">IFERROR(_xlfn.IFS(G$7="DB",DB!$O61,G$7="BT",BT!$O61,G$7="DBO",DBO!$O61,G$7="BTO",BTO!$O61,G$7="BOT/BOO",BOT・BOO!$O61),"-")</f>
        <v>855</v>
      </c>
      <c r="H21" s="77">
        <f t="array" ref="H21">IFERROR(_xlfn.IFS(G$7="DB",DB!$P61,G$7="BT",BT!$P61,G$7="DBO",DBO!$P61,G$7="BTO",BTO!$P61,G$7="BOT/BOO",BOT・BOO!$P61),"-")</f>
        <v>855</v>
      </c>
      <c r="J21" s="77" t="str">
        <f t="array" ref="J21">IFERROR(_xlfn.IFS(J$7="DB",DB!$O61,J$7="BT",BT!$O61,J$7="DBO",DBO!$O61,J$7="BTO",BTO!$O61,J$7="BOT/BOO",BOT・BOO!$O61),"-")</f>
        <v>-</v>
      </c>
      <c r="K21" s="77" t="str">
        <f t="array" ref="K21">IFERROR(_xlfn.IFS(J$7="DB",DB!$P61,J$7="BT",BT!$P61,J$7="DBO",DBO!$P61,J$7="BTO",BTO!$P61,J$7="BOT/BOO",BOT・BOO!$P61),"-")</f>
        <v>-</v>
      </c>
      <c r="M21" s="77" t="str">
        <f t="array" ref="M21">IFERROR(_xlfn.IFS(M$7="DB",DB!$O61,M$7="BT",BT!$O61,M$7="DBO",DBO!$O61,M$7="BTO",BTO!$O61,M$7="BOT/BOO",BOT・BOO!$O61),"-")</f>
        <v>-</v>
      </c>
      <c r="N21" s="77" t="str">
        <f t="array" ref="N21">IFERROR(_xlfn.IFS(M$7="DB",DB!$P61,M$7="BT",BT!$P61,M$7="DBO",DBO!$P61,M$7="BTO",BTO!$P61,M$7="BOT/BOO",BOT・BOO!$P61),"-")</f>
        <v>-</v>
      </c>
      <c r="P21" s="77" t="str">
        <f t="array" ref="P21">IFERROR(_xlfn.IFS(P$7="DB",DB!$O61,P$7="BT",BT!$O61,P$7="DBO",DBO!$O61,P$7="BTO",BTO!$O61,P$7="BOT/BOO",BOT・BOO!$O61),"-")</f>
        <v>-</v>
      </c>
      <c r="Q21" s="77" t="str">
        <f t="array" ref="Q21">IFERROR(_xlfn.IFS(P$7="DB",DB!$P61,P$7="BT",BT!$P61,P$7="DBO",DBO!$P61,P$7="BTO",BTO!$P61,P$7="BOT/BOO",BOT・BOO!$P61),"-")</f>
        <v>-</v>
      </c>
      <c r="S21" s="77" t="str">
        <f t="array" ref="S21">IFERROR(_xlfn.IFS(S$7="DB",DB!$O61,S$7="BT",BT!$O61,S$7="DBO",DBO!$O61,S$7="BTO",BTO!$O61,S$7="BOT/BOO",BOT・BOO!$O61),"-")</f>
        <v>-</v>
      </c>
      <c r="T21" s="77" t="str">
        <f t="array" ref="T21">IFERROR(_xlfn.IFS(S$7="DB",DB!$P61,S$7="BT",BT!$P61,S$7="DBO",DBO!$P61,S$7="BTO",BTO!$P61,S$7="BOT/BOO",BOT・BOO!$P61),"-")</f>
        <v>-</v>
      </c>
    </row>
    <row r="22" spans="2:36">
      <c r="D22" s="74" t="s">
        <v>165</v>
      </c>
      <c r="F22" s="73" t="s">
        <v>7</v>
      </c>
      <c r="G22" s="77">
        <f t="array" ref="G22">IFERROR(_xlfn.IFS(G$7="DB",DB!$O62,G$7="BT",BT!$O62,G$7="DBO",DBO!$O62,G$7="BTO",BTO!$O62,G$7="BOT/BOO",BOT・BOO!$O62),"-")</f>
        <v>1496.25</v>
      </c>
      <c r="H22" s="77">
        <f t="array" ref="H22">IFERROR(_xlfn.IFS(G$7="DB",DB!$P62,G$7="BT",BT!$P62,G$7="DBO",DBO!$P62,G$7="BTO",BTO!$P62,G$7="BOT/BOO",BOT・BOO!$P62),"-")</f>
        <v>427.5</v>
      </c>
      <c r="J22" s="77" t="str">
        <f t="array" ref="J22">IFERROR(_xlfn.IFS(J$7="DB",DB!$O62,J$7="BT",BT!$O62,J$7="DBO",DBO!$O62,J$7="BTO",BTO!$O62,J$7="BOT/BOO",BOT・BOO!$O62),"-")</f>
        <v>-</v>
      </c>
      <c r="K22" s="77" t="str">
        <f t="array" ref="K22">IFERROR(_xlfn.IFS(J$7="DB",DB!$P62,J$7="BT",BT!$P62,J$7="DBO",DBO!$P62,J$7="BTO",BTO!$P62,J$7="BOT/BOO",BOT・BOO!$P62),"-")</f>
        <v>-</v>
      </c>
      <c r="M22" s="77" t="str">
        <f t="array" ref="M22">IFERROR(_xlfn.IFS(M$7="DB",DB!$O62,M$7="BT",BT!$O62,M$7="DBO",DBO!$O62,M$7="BTO",BTO!$O62,M$7="BOT/BOO",BOT・BOO!$O62),"-")</f>
        <v>-</v>
      </c>
      <c r="N22" s="77" t="str">
        <f t="array" ref="N22">IFERROR(_xlfn.IFS(M$7="DB",DB!$P62,M$7="BT",BT!$P62,M$7="DBO",DBO!$P62,M$7="BTO",BTO!$P62,M$7="BOT/BOO",BOT・BOO!$P62),"-")</f>
        <v>-</v>
      </c>
      <c r="P22" s="77" t="str">
        <f t="array" ref="P22">IFERROR(_xlfn.IFS(P$7="DB",DB!$O62,P$7="BT",BT!$O62,P$7="DBO",DBO!$O62,P$7="BTO",BTO!$O62,P$7="BOT/BOO",BOT・BOO!$O62),"-")</f>
        <v>-</v>
      </c>
      <c r="Q22" s="77" t="str">
        <f t="array" ref="Q22">IFERROR(_xlfn.IFS(P$7="DB",DB!$P62,P$7="BT",BT!$P62,P$7="DBO",DBO!$P62,P$7="BTO",BTO!$P62,P$7="BOT/BOO",BOT・BOO!$P62),"-")</f>
        <v>-</v>
      </c>
      <c r="S22" s="77" t="str">
        <f t="array" ref="S22">IFERROR(_xlfn.IFS(S$7="DB",DB!$O62,S$7="BT",BT!$O62,S$7="DBO",DBO!$O62,S$7="BTO",BTO!$O62,S$7="BOT/BOO",BOT・BOO!$O62),"-")</f>
        <v>-</v>
      </c>
      <c r="T22" s="77" t="str">
        <f t="array" ref="T22">IFERROR(_xlfn.IFS(S$7="DB",DB!$P62,S$7="BT",BT!$P62,S$7="DBO",DBO!$P62,S$7="BTO",BTO!$P62,S$7="BOT/BOO",BOT・BOO!$P62),"-")</f>
        <v>-</v>
      </c>
    </row>
    <row r="23" spans="2:36">
      <c r="D23" s="74" t="s">
        <v>167</v>
      </c>
      <c r="F23" s="73" t="s">
        <v>7</v>
      </c>
      <c r="G23" s="77">
        <f t="array" ref="G23">IFERROR(_xlfn.IFS(G$7="DB",DB!$O63,G$7="BT",BT!$O63,G$7="DBO",DBO!$O63,G$7="BTO",BTO!$O63,G$7="BOT/BOO",BOT・BOO!$O63),"-")</f>
        <v>448.875</v>
      </c>
      <c r="H23" s="77">
        <f t="array" ref="H23">IFERROR(_xlfn.IFS(G$7="DB",DB!$P63,G$7="BT",BT!$P63,G$7="DBO",DBO!$P63,G$7="BTO",BTO!$P63,G$7="BOT/BOO",BOT・BOO!$P63),"-")</f>
        <v>128.25</v>
      </c>
      <c r="J23" s="77" t="str">
        <f t="array" ref="J23">IFERROR(_xlfn.IFS(J$7="DB",DB!$O63,J$7="BT",BT!$O63,J$7="DBO",DBO!$O63,J$7="BTO",BTO!$O63,J$7="BOT/BOO",BOT・BOO!$O63),"-")</f>
        <v>-</v>
      </c>
      <c r="K23" s="77" t="str">
        <f t="array" ref="K23">IFERROR(_xlfn.IFS(J$7="DB",DB!$P63,J$7="BT",BT!$P63,J$7="DBO",DBO!$P63,J$7="BTO",BTO!$P63,J$7="BOT/BOO",BOT・BOO!$P63),"-")</f>
        <v>-</v>
      </c>
      <c r="M23" s="77" t="str">
        <f t="array" ref="M23">IFERROR(_xlfn.IFS(M$7="DB",DB!$O63,M$7="BT",BT!$O63,M$7="DBO",DBO!$O63,M$7="BTO",BTO!$O63,M$7="BOT/BOO",BOT・BOO!$O63),"-")</f>
        <v>-</v>
      </c>
      <c r="N23" s="77" t="str">
        <f t="array" ref="N23">IFERROR(_xlfn.IFS(M$7="DB",DB!$P63,M$7="BT",BT!$P63,M$7="DBO",DBO!$P63,M$7="BTO",BTO!$P63,M$7="BOT/BOO",BOT・BOO!$P63),"-")</f>
        <v>-</v>
      </c>
      <c r="P23" s="77" t="str">
        <f t="array" ref="P23">IFERROR(_xlfn.IFS(P$7="DB",DB!$O63,P$7="BT",BT!$O63,P$7="DBO",DBO!$O63,P$7="BTO",BTO!$O63,P$7="BOT/BOO",BOT・BOO!$O63),"-")</f>
        <v>-</v>
      </c>
      <c r="Q23" s="77" t="str">
        <f t="array" ref="Q23">IFERROR(_xlfn.IFS(P$7="DB",DB!$P63,P$7="BT",BT!$P63,P$7="DBO",DBO!$P63,P$7="BTO",BTO!$P63,P$7="BOT/BOO",BOT・BOO!$P63),"-")</f>
        <v>-</v>
      </c>
      <c r="S23" s="77" t="str">
        <f t="array" ref="S23">IFERROR(_xlfn.IFS(S$7="DB",DB!$O63,S$7="BT",BT!$O63,S$7="DBO",DBO!$O63,S$7="BTO",BTO!$O63,S$7="BOT/BOO",BOT・BOO!$O63),"-")</f>
        <v>-</v>
      </c>
      <c r="T23" s="77" t="str">
        <f t="array" ref="T23">IFERROR(_xlfn.IFS(S$7="DB",DB!$P63,S$7="BT",BT!$P63,S$7="DBO",DBO!$P63,S$7="BTO",BTO!$P63,S$7="BOT/BOO",BOT・BOO!$P63),"-")</f>
        <v>-</v>
      </c>
    </row>
    <row r="24" spans="2:36">
      <c r="D24" s="74" t="s">
        <v>169</v>
      </c>
      <c r="F24" s="73" t="s">
        <v>7</v>
      </c>
      <c r="G24" s="77">
        <f t="array" ref="G24">IFERROR(_xlfn.IFS(G$7="DB",DB!$O64,G$7="BT",BT!$O64,G$7="DBO",DBO!$O64,G$7="BTO",BTO!$O64,G$7="BOT/BOO",BOT・BOO!$O64),"-")</f>
        <v>65.054347826086953</v>
      </c>
      <c r="H24" s="77">
        <f t="array" ref="H24">IFERROR(_xlfn.IFS(G$7="DB",DB!$P64,G$7="BT",BT!$P64,G$7="DBO",DBO!$P64,G$7="BTO",BTO!$P64,G$7="BOT/BOO",BOT・BOO!$P64),"-")</f>
        <v>18.586956521739129</v>
      </c>
      <c r="J24" s="77" t="str">
        <f t="array" ref="J24">IFERROR(_xlfn.IFS(J$7="DB",DB!$O64,J$7="BT",BT!$O64,J$7="DBO",DBO!$O64,J$7="BTO",BTO!$O64,J$7="BOT/BOO",BOT・BOO!$O64),"-")</f>
        <v>-</v>
      </c>
      <c r="K24" s="77" t="str">
        <f t="array" ref="K24">IFERROR(_xlfn.IFS(J$7="DB",DB!$P64,J$7="BT",BT!$P64,J$7="DBO",DBO!$P64,J$7="BTO",BTO!$P64,J$7="BOT/BOO",BOT・BOO!$P64),"-")</f>
        <v>-</v>
      </c>
      <c r="M24" s="77" t="str">
        <f t="array" ref="M24">IFERROR(_xlfn.IFS(M$7="DB",DB!$O64,M$7="BT",BT!$O64,M$7="DBO",DBO!$O64,M$7="BTO",BTO!$O64,M$7="BOT/BOO",BOT・BOO!$O64),"-")</f>
        <v>-</v>
      </c>
      <c r="N24" s="77" t="str">
        <f t="array" ref="N24">IFERROR(_xlfn.IFS(M$7="DB",DB!$P64,M$7="BT",BT!$P64,M$7="DBO",DBO!$P64,M$7="BTO",BTO!$P64,M$7="BOT/BOO",BOT・BOO!$P64),"-")</f>
        <v>-</v>
      </c>
      <c r="P24" s="77" t="str">
        <f t="array" ref="P24">IFERROR(_xlfn.IFS(P$7="DB",DB!$O64,P$7="BT",BT!$O64,P$7="DBO",DBO!$O64,P$7="BTO",BTO!$O64,P$7="BOT/BOO",BOT・BOO!$O64),"-")</f>
        <v>-</v>
      </c>
      <c r="Q24" s="77" t="str">
        <f t="array" ref="Q24">IFERROR(_xlfn.IFS(P$7="DB",DB!$P64,P$7="BT",BT!$P64,P$7="DBO",DBO!$P64,P$7="BTO",BTO!$P64,P$7="BOT/BOO",BOT・BOO!$P64),"-")</f>
        <v>-</v>
      </c>
      <c r="S24" s="77" t="str">
        <f t="array" ref="S24">IFERROR(_xlfn.IFS(S$7="DB",DB!$O64,S$7="BT",BT!$O64,S$7="DBO",DBO!$O64,S$7="BTO",BTO!$O64,S$7="BOT/BOO",BOT・BOO!$O64),"-")</f>
        <v>-</v>
      </c>
      <c r="T24" s="77" t="str">
        <f t="array" ref="T24">IFERROR(_xlfn.IFS(S$7="DB",DB!$P64,S$7="BT",BT!$P64,S$7="DBO",DBO!$P64,S$7="BTO",BTO!$P64,S$7="BOT/BOO",BOT・BOO!$P64),"-")</f>
        <v>-</v>
      </c>
    </row>
    <row r="25" spans="2:36">
      <c r="C25" s="74" t="s">
        <v>262</v>
      </c>
    </row>
    <row r="26" spans="2:36">
      <c r="G26" s="79">
        <f t="array" ref="G26">IFERROR(_xlfn.IFS(G$7="DB",DB!$F65,G$7="BT",BT!$F65,G$7="DBO",DBO!$F65,G$7="BTO",BTO!$F65,G$7="BOT/BOO",BOT・BOO!$F65),"-")</f>
        <v>1.35E-2</v>
      </c>
      <c r="H26" s="80"/>
      <c r="J26" s="79" t="str">
        <f t="array" ref="J26">IFERROR(_xlfn.IFS(J$7="DB",DB!$F65,J$7="BT",BT!$F65,J$7="DBO",DBO!$F65,J$7="BTO",BTO!$F65,J$7="BOT/BOO",BOT・BOO!$F65),"-")</f>
        <v>-</v>
      </c>
      <c r="K26" s="80"/>
      <c r="M26" s="79" t="str">
        <f t="array" ref="M26">IFERROR(_xlfn.IFS(M$7="DB",DB!$F65,M$7="BT",BT!$F65,M$7="DBO",DBO!$F65,M$7="BTO",BTO!$F65,M$7="BOT/BOO",BOT・BOO!$F65),"-")</f>
        <v>-</v>
      </c>
      <c r="N26" s="80"/>
      <c r="P26" s="79" t="str">
        <f t="array" ref="P26">IFERROR(_xlfn.IFS(P$7="DB",DB!$F65,P$7="BT",BT!$F65,P$7="DBO",DBO!$F65,P$7="BTO",BTO!$F65,P$7="BOT/BOO",BOT・BOO!$F65),"-")</f>
        <v>-</v>
      </c>
      <c r="Q26" s="80"/>
      <c r="S26" s="79" t="str">
        <f t="array" ref="S26">IFERROR(_xlfn.IFS(S$7="DB",DB!$F65,S$7="BT",BT!$F65,S$7="DBO",DBO!$F65,S$7="BTO",BTO!$F65,S$7="BOT/BOO",BOT・BOO!$F65),"-")</f>
        <v>-</v>
      </c>
      <c r="T26" s="80"/>
    </row>
    <row r="27" spans="2:36">
      <c r="C27" s="74" t="s">
        <v>263</v>
      </c>
      <c r="G27" s="198" t="s">
        <v>2</v>
      </c>
      <c r="H27" s="198" t="s">
        <v>50</v>
      </c>
      <c r="J27" s="198" t="s">
        <v>2</v>
      </c>
      <c r="K27" s="198" t="s">
        <v>50</v>
      </c>
      <c r="M27" s="198" t="s">
        <v>2</v>
      </c>
      <c r="N27" s="198" t="s">
        <v>50</v>
      </c>
      <c r="P27" s="198" t="s">
        <v>2</v>
      </c>
      <c r="Q27" s="198" t="s">
        <v>50</v>
      </c>
      <c r="S27" s="198" t="s">
        <v>2</v>
      </c>
      <c r="T27" s="198" t="s">
        <v>50</v>
      </c>
    </row>
    <row r="28" spans="2:36">
      <c r="E28" s="73" t="s">
        <v>114</v>
      </c>
      <c r="F28" s="73" t="s">
        <v>38</v>
      </c>
      <c r="G28" s="130"/>
      <c r="H28" s="81">
        <f t="array" ref="H28">IFERROR(_xlfn.IFS(G$7="DB",DB!$F35,G$7="BT",BT!$F35,G$7="DBO",DBO!$F35,G$7="BTO",BTO!$F35,G$7="BOT/BOO",BOT・BOO!$F35),"-")</f>
        <v>1.4661200140502781E-2</v>
      </c>
      <c r="I28" s="199"/>
      <c r="J28" s="130"/>
      <c r="K28" s="81" t="str">
        <f t="array" ref="K28">IFERROR(_xlfn.IFS(J$7="DB",DB!$F35,J$7="BT",BT!$F35,J$7="DBO",DBO!$F35,J$7="BTO",BTO!$F35,J$7="BOT/BOO",BOT・BOO!$F35),"-")</f>
        <v>-</v>
      </c>
      <c r="L28" s="199"/>
      <c r="M28" s="130"/>
      <c r="N28" s="81" t="str">
        <f t="array" ref="N28">IFERROR(_xlfn.IFS(M$7="DB",DB!$F35,M$7="BT",BT!$F35,M$7="DBO",DBO!$F35,M$7="BTO",BTO!$F35,M$7="BOT/BOO",BOT・BOO!$F35),"-")</f>
        <v>-</v>
      </c>
      <c r="O28" s="199"/>
      <c r="P28" s="130"/>
      <c r="Q28" s="81" t="str">
        <f t="array" ref="Q28">IFERROR(_xlfn.IFS(P$7="DB",DB!$F35,P$7="BT",BT!$F35,P$7="DBO",DBO!$F35,P$7="BTO",BTO!$F35,P$7="BOT/BOO",BOT・BOO!$F35),"-")</f>
        <v>-</v>
      </c>
      <c r="R28" s="199"/>
      <c r="S28" s="130"/>
      <c r="T28" s="81" t="str">
        <f t="array" ref="T28">IFERROR(_xlfn.IFS(S$7="DB",DB!$F35,S$7="BT",BT!$F35,S$7="DBO",DBO!$F35,S$7="BTO",BTO!$F35,S$7="BOT/BOO",BOT・BOO!$F35),"-")</f>
        <v>-</v>
      </c>
    </row>
    <row r="29" spans="2:36" ht="21" customHeight="1" thickBot="1">
      <c r="E29" s="73" t="s">
        <v>119</v>
      </c>
      <c r="F29" s="73" t="s">
        <v>38</v>
      </c>
      <c r="G29" s="213"/>
      <c r="H29" s="81">
        <f t="array" ref="H29">IFERROR(_xlfn.IFS(G$7="DB",SUM(DB!F36:F37),G$7="BT",SUM(BT!F36:F37),G$7="DBO",SUM(DBO!F36:F37),G$7="BTO",SUM(BTO!F36:F37),G$7="BOT/BOO",SUM(BOT・BOO!F36:F37)),"-")</f>
        <v>2.5000000000000001E-2</v>
      </c>
      <c r="I29" s="199"/>
      <c r="J29" s="213"/>
      <c r="K29" s="81" t="str">
        <f t="array" ref="K29">IFERROR(_xlfn.IFS(J$7="DB",SUM(DB!F36:F37),J$7="BT",SUM(BT!F36:F37),J$7="DBO",SUM(DBO!F36:F37),J$7="BTO",SUM(BTO!F36:F37),J$7="BOT/BOO",SUM(BOT・BOO!F36:F37)),"-")</f>
        <v>-</v>
      </c>
      <c r="L29" s="199"/>
      <c r="M29" s="213"/>
      <c r="N29" s="81" t="str">
        <f t="array" ref="N29">IFERROR(_xlfn.IFS(M$7="DB",SUM(DB!F36:F37),M$7="BT",SUM(BT!F36:F37),M$7="DBO",SUM(DBO!F36:F37),M$7="BTO",SUM(BTO!F36:F37),M$7="BOT/BOO",SUM(BOT・BOO!F36:F37)),"-")</f>
        <v>-</v>
      </c>
      <c r="O29" s="199"/>
      <c r="P29" s="213"/>
      <c r="Q29" s="81" t="str">
        <f t="array" ref="Q29">IFERROR(_xlfn.IFS(P$7="DB",SUM(DB!F36:F37),P$7="BT",SUM(BT!F36:F37),P$7="DBO",SUM(DBO!F36:F37),P$7="BTO",SUM(BTO!F36:F37),P$7="BOT/BOO",SUM(BOT・BOO!F36:F37)),"-")</f>
        <v>-</v>
      </c>
      <c r="R29" s="199"/>
      <c r="S29" s="213"/>
      <c r="T29" s="81" t="str">
        <f t="array" ref="T29">IFERROR(_xlfn.IFS(S$7="DB",SUM(DB!F36:F37),S$7="BT",SUM(BT!F36:F37),S$7="DBO",SUM(DBO!F36:F37),S$7="BTO",SUM(BTO!F36:F37),S$7="BOT/BOO",SUM(BOT・BOO!F36:F37)),"-")</f>
        <v>-</v>
      </c>
    </row>
    <row r="30" spans="2:36" ht="21" customHeight="1" thickBot="1">
      <c r="E30" s="73" t="s">
        <v>10</v>
      </c>
      <c r="F30" s="73" t="s">
        <v>38</v>
      </c>
      <c r="G30" s="200"/>
      <c r="H30" s="201">
        <f>SUM(H28:H29)</f>
        <v>3.9661200140502784E-2</v>
      </c>
      <c r="I30" s="199"/>
      <c r="J30" s="200"/>
      <c r="K30" s="201">
        <f>SUM(K28:K29)</f>
        <v>0</v>
      </c>
      <c r="L30" s="199"/>
      <c r="M30" s="200"/>
      <c r="N30" s="201">
        <f>SUM(N28:N29)</f>
        <v>0</v>
      </c>
      <c r="O30" s="199"/>
      <c r="P30" s="200"/>
      <c r="Q30" s="201">
        <f>SUM(Q28:Q29)</f>
        <v>0</v>
      </c>
      <c r="R30" s="199"/>
      <c r="S30" s="200"/>
      <c r="T30" s="215">
        <f>SUM(T28:T29)</f>
        <v>0</v>
      </c>
    </row>
    <row r="31" spans="2:36">
      <c r="B31" s="74" t="s">
        <v>264</v>
      </c>
    </row>
    <row r="32" spans="2:36">
      <c r="G32" s="198" t="s">
        <v>2</v>
      </c>
      <c r="H32" s="198" t="s">
        <v>50</v>
      </c>
      <c r="J32" s="198" t="s">
        <v>2</v>
      </c>
      <c r="K32" s="198" t="s">
        <v>50</v>
      </c>
      <c r="M32" s="198" t="s">
        <v>2</v>
      </c>
      <c r="N32" s="198" t="s">
        <v>50</v>
      </c>
      <c r="P32" s="198" t="s">
        <v>2</v>
      </c>
      <c r="Q32" s="198" t="s">
        <v>50</v>
      </c>
      <c r="S32" s="198" t="s">
        <v>2</v>
      </c>
      <c r="T32" s="198" t="s">
        <v>50</v>
      </c>
    </row>
    <row r="33" spans="1:20">
      <c r="C33" s="93" t="s">
        <v>138</v>
      </c>
      <c r="D33"/>
      <c r="F33" s="73" t="s">
        <v>7</v>
      </c>
      <c r="G33" s="77">
        <f t="array" ref="G33">IFERROR(_xlfn.IFS(G$7="DB",DB!$F104,G$7="BT",BT!$F104,G$7="DBO",DBO!$F104,G$7="BTO",BTO!$F104,G$7="BOT/BOO",BOT・BOO!$F104),"-")</f>
        <v>100</v>
      </c>
      <c r="H33" s="130"/>
      <c r="J33" s="77" t="str">
        <f t="array" ref="J33">IFERROR(_xlfn.IFS(J$7="DB",DB!$F104,J$7="BT",BT!$F104,J$7="DBO",DBO!$F104,J$7="BTO",BTO!$F104,J$7="BOT/BOO",BOT・BOO!$F104),"-")</f>
        <v>-</v>
      </c>
      <c r="K33" s="130"/>
      <c r="M33" s="77" t="str">
        <f t="array" ref="M33">IFERROR(_xlfn.IFS(M$7="DB",DB!$F104,M$7="BT",BT!$F104,M$7="DBO",DBO!$F104,M$7="BTO",BTO!$F104,M$7="BOT/BOO",BOT・BOO!$F104),"-")</f>
        <v>-</v>
      </c>
      <c r="N33" s="130"/>
      <c r="P33" s="77" t="str">
        <f t="array" ref="P33">IFERROR(_xlfn.IFS(P$7="DB",DB!$F104,P$7="BT",BT!$F104,P$7="DBO",DBO!$F104,P$7="BTO",BTO!$F104,P$7="BOT/BOO",BOT・BOO!$F104),"-")</f>
        <v>-</v>
      </c>
      <c r="Q33" s="130"/>
      <c r="S33" s="77" t="str">
        <f t="array" ref="S33">IFERROR(_xlfn.IFS(S$7="DB",DB!$F104,S$7="BT",BT!$F104,S$7="DBO",DBO!$F104,S$7="BTO",BTO!$F104,S$7="BOT/BOO",BOT・BOO!$F104),"-")</f>
        <v>-</v>
      </c>
      <c r="T33" s="130"/>
    </row>
    <row r="34" spans="1:20">
      <c r="C34" s="93" t="s">
        <v>219</v>
      </c>
      <c r="D34"/>
      <c r="E34"/>
      <c r="F34" s="73" t="s">
        <v>7</v>
      </c>
      <c r="G34" s="77">
        <f t="array" ref="G34">IFERROR(_xlfn.IFS(G$7="DB",DB!$F105,G$7="BT",BT!$F105,G$7="DBO",DBO!$F105,G$7="BTO",BTO!$F105,G$7="BOT/BOO",BOT・BOO!$F105),"-")</f>
        <v>15</v>
      </c>
      <c r="H34" s="197"/>
      <c r="J34" s="77" t="str">
        <f t="array" ref="J34">IFERROR(_xlfn.IFS(J$7="DB",DB!$F105,J$7="BT",BT!$F105,J$7="DBO",DBO!$F105,J$7="BTO",BTO!$F105,J$7="BOT/BOO",BOT・BOO!$F105),"-")</f>
        <v>-</v>
      </c>
      <c r="K34" s="130"/>
      <c r="M34" s="77" t="str">
        <f t="array" ref="M34">IFERROR(_xlfn.IFS(M$7="DB",DB!$F105,M$7="BT",BT!$F105,M$7="DBO",DBO!$F105,M$7="BTO",BTO!$F105,M$7="BOT/BOO",BOT・BOO!$F105),"-")</f>
        <v>-</v>
      </c>
      <c r="N34" s="130"/>
      <c r="P34" s="77" t="str">
        <f t="array" ref="P34">IFERROR(_xlfn.IFS(P$7="DB",DB!$F105,P$7="BT",BT!$F105,P$7="DBO",DBO!$F105,P$7="BTO",BTO!$F105,P$7="BOT/BOO",BOT・BOO!$F105),"-")</f>
        <v>-</v>
      </c>
      <c r="Q34" s="130"/>
      <c r="S34" s="77" t="str">
        <f t="array" ref="S34">IFERROR(_xlfn.IFS(S$7="DB",DB!$F105,S$7="BT",BT!$F105,S$7="DBO",DBO!$F105,S$7="BTO",BTO!$F105,S$7="BOT/BOO",BOT・BOO!$F105),"-")</f>
        <v>-</v>
      </c>
      <c r="T34" s="130"/>
    </row>
    <row r="35" spans="1:20">
      <c r="C35" s="93" t="s">
        <v>221</v>
      </c>
      <c r="D35"/>
      <c r="E35"/>
      <c r="F35" s="73" t="s">
        <v>7</v>
      </c>
      <c r="G35" s="77">
        <f t="array" ref="G35">IFERROR(_xlfn.IFS(G$7="DB",DB!$F106,G$7="BT",BT!$F106,G$7="DBO",DBO!$F106,G$7="BTO",BTO!$F106,G$7="BOT/BOO",BOT・BOO!$F106),"-")</f>
        <v>100</v>
      </c>
      <c r="H35" s="130"/>
      <c r="J35" s="77" t="str">
        <f t="array" ref="J35">IFERROR(_xlfn.IFS(J$7="DB",DB!$F106,J$7="BT",BT!$F106,J$7="DBO",DBO!$F106,J$7="BTO",BTO!$F106,J$7="BOT/BOO",BOT・BOO!$F106),"-")</f>
        <v>-</v>
      </c>
      <c r="K35" s="130"/>
      <c r="M35" s="77" t="str">
        <f t="array" ref="M35">IFERROR(_xlfn.IFS(M$7="DB",DB!$F106,M$7="BT",BT!$F106,M$7="DBO",DBO!$F106,M$7="BTO",BTO!$F106,M$7="BOT/BOO",BOT・BOO!$F106),"-")</f>
        <v>-</v>
      </c>
      <c r="N35" s="130"/>
      <c r="P35" s="77" t="str">
        <f t="array" ref="P35">IFERROR(_xlfn.IFS(P$7="DB",DB!$F106,P$7="BT",BT!$F106,P$7="DBO",DBO!$F106,P$7="BTO",BTO!$F106,P$7="BOT/BOO",BOT・BOO!$F106),"-")</f>
        <v>-</v>
      </c>
      <c r="Q35" s="130"/>
      <c r="S35" s="77" t="str">
        <f t="array" ref="S35">IFERROR(_xlfn.IFS(S$7="DB",DB!$F106,S$7="BT",BT!$F106,S$7="DBO",DBO!$F106,S$7="BTO",BTO!$F106,S$7="BOT/BOO",BOT・BOO!$F106),"-")</f>
        <v>-</v>
      </c>
      <c r="T35" s="130"/>
    </row>
    <row r="36" spans="1:20">
      <c r="E36"/>
    </row>
    <row r="38" spans="1:20">
      <c r="A38" s="73" t="s">
        <v>229</v>
      </c>
      <c r="B38" s="208" t="s">
        <v>265</v>
      </c>
    </row>
    <row r="39" spans="1:20">
      <c r="B39" s="74"/>
    </row>
    <row r="40" spans="1:20" s="75" customFormat="1"/>
  </sheetData>
  <mergeCells count="5">
    <mergeCell ref="M7:N7"/>
    <mergeCell ref="G7:H7"/>
    <mergeCell ref="P7:Q7"/>
    <mergeCell ref="S7:T7"/>
    <mergeCell ref="J7:K7"/>
  </mergeCells>
  <phoneticPr fontId="2"/>
  <pageMargins left="0.7" right="0.7" top="0.75" bottom="0.75" header="0.3" footer="0.3"/>
  <pageSetup paperSize="8" scale="53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B2:M34"/>
  <sheetViews>
    <sheetView showGridLines="0" zoomScale="85" zoomScaleNormal="85" workbookViewId="0">
      <selection activeCell="L41" sqref="L41"/>
    </sheetView>
  </sheetViews>
  <sheetFormatPr baseColWidth="10" defaultColWidth="9" defaultRowHeight="12"/>
  <cols>
    <col min="1" max="1" width="9" style="27" customWidth="1"/>
    <col min="2" max="16384" width="9" style="27"/>
  </cols>
  <sheetData>
    <row r="2" spans="2:13">
      <c r="D2" s="209" t="str">
        <f>IF(説明用アウトプットシート!G7="","",説明用アウトプットシート!G7)</f>
        <v>BTO</v>
      </c>
      <c r="F2" s="209" t="str">
        <f>IF(説明用アウトプットシート!J7="","",説明用アウトプットシート!J7)</f>
        <v/>
      </c>
      <c r="H2" s="209" t="str">
        <f>IF(説明用アウトプットシート!M7="","",説明用アウトプットシート!M7)</f>
        <v/>
      </c>
      <c r="J2" s="209" t="str">
        <f>IF(説明用アウトプットシート!P7="","",説明用アウトプットシート!P7)</f>
        <v/>
      </c>
      <c r="L2" s="209" t="str">
        <f>IF(説明用アウトプットシート!S7="","",説明用アウトプットシート!S7)</f>
        <v/>
      </c>
    </row>
    <row r="3" spans="2:13" ht="13" customHeight="1">
      <c r="B3" s="28" t="s">
        <v>246</v>
      </c>
      <c r="D3" s="209" t="str">
        <f>IF($D2="","",TEXT($D2,"")&amp;"(PSC)")</f>
        <v>BTO(PSC)</v>
      </c>
      <c r="E3" s="209" t="str">
        <f>IF($D2="","",TEXT($D2,"")&amp;"(PFI-LCC)")</f>
        <v>BTO(PFI-LCC)</v>
      </c>
      <c r="F3" s="209" t="str">
        <f>IF($F2="","",TEXT($F2,"")&amp;"(PSC)")</f>
        <v/>
      </c>
      <c r="G3" s="209" t="str">
        <f>IF($F2="","",TEXT($F2,"")&amp;"(PFI-LCC)")</f>
        <v/>
      </c>
      <c r="H3" s="209" t="str">
        <f>IF($H2="","",TEXT($H2,"")&amp;"(PSC)")</f>
        <v/>
      </c>
      <c r="I3" s="209" t="str">
        <f>IF($H2="","",TEXT($H2,"")&amp;"(PFI-LCC)")</f>
        <v/>
      </c>
      <c r="J3" s="209" t="str">
        <f>IF($J2="","",TEXT($J2,"")&amp;"(PSC)")</f>
        <v/>
      </c>
      <c r="K3" s="209" t="str">
        <f>IF($J2="","",TEXT($J2,"")&amp;"(PFI-LCC)")</f>
        <v/>
      </c>
      <c r="L3" s="209" t="str">
        <f>IF($L2="","",TEXT($L2,"")&amp;"(PSC)")</f>
        <v/>
      </c>
      <c r="M3" s="209" t="str">
        <f>IF($L2="","",TEXT($L2,"")&amp;"(PFI-LCC)")</f>
        <v/>
      </c>
    </row>
    <row r="4" spans="2:13">
      <c r="B4" s="27" t="s">
        <v>57</v>
      </c>
      <c r="C4" s="27">
        <v>1</v>
      </c>
      <c r="D4" s="206">
        <f t="array" ref="D4">-IFERROR(_xlfn.IFS(D$2="DB",DB!$AJ17,D$2="BT",BT!$AJ17,D$2="DBO",DBO!$AJ17,D$2="BTO",BTO!$AJ17,D$2="BOT/BOO",BOT・BOO!$AJ17),0)</f>
        <v>10</v>
      </c>
      <c r="E4" s="206">
        <f t="array" ref="E4">-IFERROR(_xlfn.IFS(D$2="DB",DB!$BC17,D$2="BT",BT!$BC17,D$2="DBO",DBO!$BC17,D$2="BTO",BTO!$BC17,D$2="BOT/BOO",BOT・BOO!$BC17),0)</f>
        <v>31</v>
      </c>
      <c r="F4" s="206">
        <f t="array" ref="F4">-IFERROR(_xlfn.IFS(F$2="DB",DB!$AJ17,F$2="BT",BT!$AJ17,F$2="DBO",DBO!$AJ17,F$2="BTO",BTO!$AJ17,F$2="BOT/BOO",BOT・BOO!$AJ17),0)</f>
        <v>0</v>
      </c>
      <c r="G4" s="206">
        <f t="array" ref="G4">-IFERROR(_xlfn.IFS(F$2="DB",DB!$BC17,F$2="BT",BT!$BC17,F$2="DBO",DBO!$BC17,F$2="BTO",BTO!$BC17,F$2="BOT/BOO",BOT・BOO!$BC17),0)</f>
        <v>0</v>
      </c>
      <c r="H4" s="206">
        <f t="array" ref="H4">-IFERROR(_xlfn.IFS(H$2="DB",DB!$AJ17,H$2="BT",BT!$AJ17,H$2="DBO",DBO!$AJ17,H$2="BTO",BTO!$AJ17,H$2="BOT/BOO",BOT・BOO!$AJ17),0)</f>
        <v>0</v>
      </c>
      <c r="I4" s="206">
        <f t="array" ref="I4">-IFERROR(_xlfn.IFS(H$2="DB",DB!$BC17,H$2="BT",BT!$BC17,H$2="DBO",DBO!$BC17,H$2="BTO",BTO!$BC17,H$2="BOT/BOO",BOT・BOO!$BC17),0)</f>
        <v>0</v>
      </c>
      <c r="J4" s="206">
        <f t="array" ref="J4">-IFERROR(_xlfn.IFS(J$2="DB",DB!$AJ17,J$2="BT",BT!$AJ17,J$2="DBO",DBO!$AJ17,J$2="BTO",BTO!$AJ17,J$2="BOT/BOO",BOT・BOO!$AJ17),0)</f>
        <v>0</v>
      </c>
      <c r="K4" s="206">
        <f t="array" ref="K4">-IFERROR(_xlfn.IFS(J$2="DB",DB!$BC17,J$2="BT",BT!$BC17,J$2="DBO",DBO!$BC17,J$2="BTO",BTO!$BC17,J$2="BOT/BOO",BOT・BOO!$BC17),0)</f>
        <v>0</v>
      </c>
      <c r="L4" s="206">
        <f t="array" ref="L4">-IFERROR(_xlfn.IFS(L$2="DB",DB!$AJ17,L$2="BT",BT!$AJ17,L$2="DBO",DBO!$AJ17,L$2="BTO",BTO!$AJ17,L$2="BOT/BOO",BOT・BOO!$AJ17),0)</f>
        <v>0</v>
      </c>
      <c r="M4" s="206">
        <f t="array" ref="M4">-IFERROR(_xlfn.IFS(L$2="DB",DB!$BC17,L$2="BT",BT!$BC17,L$2="DBO",DBO!$BC17,L$2="BTO",BTO!$BC17,L$2="BOT/BOO",BOT・BOO!$BC17),0)</f>
        <v>0</v>
      </c>
    </row>
    <row r="5" spans="2:13">
      <c r="B5" s="27" t="s">
        <v>230</v>
      </c>
      <c r="C5" s="27">
        <v>2</v>
      </c>
      <c r="D5" s="206">
        <f t="array" ref="D5">-IFERROR(_xlfn.IFS(D$2="DB",DB!$AJ18,D$2="BT",BT!$AJ18,D$2="DBO",DBO!$AJ18,D$2="BTO",BTO!$AJ18,D$2="BOT/BOO",BOT・BOO!$AJ18),0)</f>
        <v>10</v>
      </c>
      <c r="E5" s="206">
        <f t="array" ref="E5">-IFERROR(_xlfn.IFS(D$2="DB",DB!$BC18,D$2="BT",BT!$BC18,D$2="DBO",DBO!$BC18,D$2="BTO",BTO!$BC18,D$2="BOT/BOO",BOT・BOO!$BC18),0)</f>
        <v>6</v>
      </c>
      <c r="F5" s="206">
        <f t="array" ref="F5">-IFERROR(_xlfn.IFS(F$2="DB",DB!$AJ18,F$2="BT",BT!$AJ18,F$2="DBO",DBO!$AJ18,F$2="BTO",BTO!$AJ18,F$2="BOT/BOO",BOT・BOO!$AJ18),0)</f>
        <v>0</v>
      </c>
      <c r="G5" s="206">
        <f t="array" ref="G5">-IFERROR(_xlfn.IFS(F$2="DB",DB!$BC18,F$2="BT",BT!$BC18,F$2="DBO",DBO!$BC18,F$2="BTO",BTO!$BC18,F$2="BOT/BOO",BOT・BOO!$BC18),0)</f>
        <v>0</v>
      </c>
      <c r="H5" s="206">
        <f t="array" ref="H5">-IFERROR(_xlfn.IFS(H$2="DB",DB!$AJ18,H$2="BT",BT!$AJ18,H$2="DBO",DBO!$AJ18,H$2="BTO",BTO!$AJ18,H$2="BOT/BOO",BOT・BOO!$AJ18),0)</f>
        <v>0</v>
      </c>
      <c r="I5" s="206">
        <f t="array" ref="I5">-IFERROR(_xlfn.IFS(H$2="DB",DB!$BC18,H$2="BT",BT!$BC18,H$2="DBO",DBO!$BC18,H$2="BTO",BTO!$BC18,H$2="BOT/BOO",BOT・BOO!$BC18),0)</f>
        <v>0</v>
      </c>
      <c r="J5" s="206">
        <f t="array" ref="J5">-IFERROR(_xlfn.IFS(J$2="DB",DB!$AJ18,J$2="BT",BT!$AJ18,J$2="DBO",DBO!$AJ18,J$2="BTO",BTO!$AJ18,J$2="BOT/BOO",BOT・BOO!$AJ18),0)</f>
        <v>0</v>
      </c>
      <c r="K5" s="206">
        <f t="array" ref="K5">-IFERROR(_xlfn.IFS(J$2="DB",DB!$BC18,J$2="BT",BT!$BC18,J$2="DBO",DBO!$BC18,J$2="BTO",BTO!$BC18,J$2="BOT/BOO",BOT・BOO!$BC18),0)</f>
        <v>0</v>
      </c>
      <c r="L5" s="206">
        <f t="array" ref="L5">-IFERROR(_xlfn.IFS(L$2="DB",DB!$AJ18,L$2="BT",BT!$AJ18,L$2="DBO",DBO!$AJ18,L$2="BTO",BTO!$AJ18,L$2="BOT/BOO",BOT・BOO!$AJ18),0)</f>
        <v>0</v>
      </c>
      <c r="M5" s="206">
        <f t="array" ref="M5">-IFERROR(_xlfn.IFS(L$2="DB",DB!$BC18,L$2="BT",BT!$BC18,L$2="DBO",DBO!$BC18,L$2="BTO",BTO!$BC18,L$2="BOT/BOO",BOT・BOO!$BC18),0)</f>
        <v>0</v>
      </c>
    </row>
    <row r="6" spans="2:13">
      <c r="B6" s="27" t="s">
        <v>228</v>
      </c>
      <c r="C6" s="27">
        <v>3</v>
      </c>
      <c r="D6" s="206">
        <f t="array" ref="D6">-IFERROR(_xlfn.IFS(D$2="DB",DB!$AJ19,D$2="BT",BT!$AJ19,D$2="DBO",DBO!$AJ19,D$2="BTO",BTO!$AJ19,D$2="BOT/BOO",BOT・BOO!$AJ19),0)</f>
        <v>1556.125</v>
      </c>
      <c r="E6" s="206">
        <f t="array" ref="E6">-IFERROR(_xlfn.IFS(D$2="DB",DB!$BC19,D$2="BT",BT!$BC19,D$2="DBO",DBO!$BC19,D$2="BTO",BTO!$BC19,D$2="BOT/BOO",BOT・BOO!$BC19),0)</f>
        <v>447.75</v>
      </c>
      <c r="F6" s="206">
        <f t="array" ref="F6">-IFERROR(_xlfn.IFS(F$2="DB",DB!$AJ19,F$2="BT",BT!$AJ19,F$2="DBO",DBO!$AJ19,F$2="BTO",BTO!$AJ19,F$2="BOT/BOO",BOT・BOO!$AJ19),0)</f>
        <v>0</v>
      </c>
      <c r="G6" s="206">
        <f t="array" ref="G6">-IFERROR(_xlfn.IFS(F$2="DB",DB!$BC19,F$2="BT",BT!$BC19,F$2="DBO",DBO!$BC19,F$2="BTO",BTO!$BC19,F$2="BOT/BOO",BOT・BOO!$BC19),0)</f>
        <v>0</v>
      </c>
      <c r="H6" s="206">
        <f t="array" ref="H6">-IFERROR(_xlfn.IFS(H$2="DB",DB!$AJ19,H$2="BT",BT!$AJ19,H$2="DBO",DBO!$AJ19,H$2="BTO",BTO!$AJ19,H$2="BOT/BOO",BOT・BOO!$AJ19),0)</f>
        <v>0</v>
      </c>
      <c r="I6" s="206">
        <f t="array" ref="I6">-IFERROR(_xlfn.IFS(H$2="DB",DB!$BC19,H$2="BT",BT!$BC19,H$2="DBO",DBO!$BC19,H$2="BTO",BTO!$BC19,H$2="BOT/BOO",BOT・BOO!$BC19),0)</f>
        <v>0</v>
      </c>
      <c r="J6" s="206">
        <f t="array" ref="J6">-IFERROR(_xlfn.IFS(J$2="DB",DB!$AJ19,J$2="BT",BT!$AJ19,J$2="DBO",DBO!$AJ19,J$2="BTO",BTO!$AJ19,J$2="BOT/BOO",BOT・BOO!$AJ19),0)</f>
        <v>0</v>
      </c>
      <c r="K6" s="206">
        <f t="array" ref="K6">-IFERROR(_xlfn.IFS(J$2="DB",DB!$BC19,J$2="BT",BT!$BC19,J$2="DBO",DBO!$BC19,J$2="BTO",BTO!$BC19,J$2="BOT/BOO",BOT・BOO!$BC19),0)</f>
        <v>0</v>
      </c>
      <c r="L6" s="206">
        <f t="array" ref="L6">-IFERROR(_xlfn.IFS(L$2="DB",DB!$AJ19,L$2="BT",BT!$AJ19,L$2="DBO",DBO!$AJ19,L$2="BTO",BTO!$AJ19,L$2="BOT/BOO",BOT・BOO!$AJ19),0)</f>
        <v>0</v>
      </c>
      <c r="M6" s="206">
        <f t="array" ref="M6">-IFERROR(_xlfn.IFS(L$2="DB",DB!$BC19,L$2="BT",BT!$BC19,L$2="DBO",DBO!$BC19,L$2="BTO",BTO!$BC19,L$2="BOT/BOO",BOT・BOO!$BC19),0)</f>
        <v>0</v>
      </c>
    </row>
    <row r="7" spans="2:13">
      <c r="B7" s="27" t="s">
        <v>231</v>
      </c>
      <c r="C7" s="27">
        <v>4</v>
      </c>
      <c r="D7" s="206">
        <f t="array" ref="D7">-IFERROR(_xlfn.IFS(D$2="DB",DB!$AJ20,D$2="BT",BT!$AJ20,D$2="DBO",DBO!$AJ20,D$2="BTO",BTO!$AJ20,D$2="BOT/BOO",BOT・BOO!$AJ20),0)</f>
        <v>60</v>
      </c>
      <c r="E7" s="206">
        <f t="array" ref="E7">-IFERROR(_xlfn.IFS(D$2="DB",DB!$BC20,D$2="BT",BT!$BC20,D$2="DBO",DBO!$BC20,D$2="BTO",BTO!$BC20,D$2="BOT/BOO",BOT・BOO!$BC20),0)</f>
        <v>183.85703826222101</v>
      </c>
      <c r="F7" s="206">
        <f t="array" ref="F7">-IFERROR(_xlfn.IFS(F$2="DB",DB!$AJ20,F$2="BT",BT!$AJ20,F$2="DBO",DBO!$AJ20,F$2="BTO",BTO!$AJ20,F$2="BOT/BOO",BOT・BOO!$AJ20),0)</f>
        <v>0</v>
      </c>
      <c r="G7" s="206">
        <f t="array" ref="G7">-IFERROR(_xlfn.IFS(F$2="DB",DB!$BC20,F$2="BT",BT!$BC20,F$2="DBO",DBO!$BC20,F$2="BTO",BTO!$BC20,F$2="BOT/BOO",BOT・BOO!$BC20),0)</f>
        <v>0</v>
      </c>
      <c r="H7" s="206">
        <f t="array" ref="H7">-IFERROR(_xlfn.IFS(H$2="DB",DB!$AJ20,H$2="BT",BT!$AJ20,H$2="DBO",DBO!$AJ20,H$2="BTO",BTO!$AJ20,H$2="BOT/BOO",BOT・BOO!$AJ20),0)</f>
        <v>0</v>
      </c>
      <c r="I7" s="206">
        <f t="array" ref="I7">-IFERROR(_xlfn.IFS(H$2="DB",DB!$BC20,H$2="BT",BT!$BC20,H$2="DBO",DBO!$BC20,H$2="BTO",BTO!$BC20,H$2="BOT/BOO",BOT・BOO!$BC20),0)</f>
        <v>0</v>
      </c>
      <c r="J7" s="206">
        <f t="array" ref="J7">-IFERROR(_xlfn.IFS(J$2="DB",DB!$AJ20,J$2="BT",BT!$AJ20,J$2="DBO",DBO!$AJ20,J$2="BTO",BTO!$AJ20,J$2="BOT/BOO",BOT・BOO!$AJ20),0)</f>
        <v>0</v>
      </c>
      <c r="K7" s="206">
        <f t="array" ref="K7">-IFERROR(_xlfn.IFS(J$2="DB",DB!$BC20,J$2="BT",BT!$BC20,J$2="DBO",DBO!$BC20,J$2="BTO",BTO!$BC20,J$2="BOT/BOO",BOT・BOO!$BC20),0)</f>
        <v>0</v>
      </c>
      <c r="L7" s="206">
        <f t="array" ref="L7">-IFERROR(_xlfn.IFS(L$2="DB",DB!$AJ20,L$2="BT",BT!$AJ20,L$2="DBO",DBO!$AJ20,L$2="BTO",BTO!$AJ20,L$2="BOT/BOO",BOT・BOO!$AJ20),0)</f>
        <v>0</v>
      </c>
      <c r="M7" s="206">
        <f t="array" ref="M7">-IFERROR(_xlfn.IFS(L$2="DB",DB!$BC20,L$2="BT",BT!$BC20,L$2="DBO",DBO!$BC20,L$2="BTO",BTO!$BC20,L$2="BOT/BOO",BOT・BOO!$BC20),0)</f>
        <v>0</v>
      </c>
    </row>
    <row r="8" spans="2:13">
      <c r="B8" s="27" t="s">
        <v>240</v>
      </c>
      <c r="C8" s="27">
        <v>5</v>
      </c>
      <c r="D8" s="206">
        <f t="array" ref="D8">-IFERROR(_xlfn.IFS(D$2="DB",DB!$AJ21,D$2="BT",BT!$AJ21,D$2="DBO",DBO!$AJ21,D$2="BTO",BTO!$AJ21,D$2="BOT/BOO",BOT・BOO!$AJ21),0)</f>
        <v>60</v>
      </c>
      <c r="E8" s="206">
        <f t="array" ref="E8">-IFERROR(_xlfn.IFS(D$2="DB",DB!$BC21,D$2="BT",BT!$BC21,D$2="DBO",DBO!$BC21,D$2="BTO",BTO!$BC21,D$2="BOT/BOO",BOT・BOO!$BC21),0)</f>
        <v>183.85703826222101</v>
      </c>
      <c r="F8" s="206">
        <f t="array" ref="F8">-IFERROR(_xlfn.IFS(F$2="DB",DB!$AJ21,F$2="BT",BT!$AJ21,F$2="DBO",DBO!$AJ21,F$2="BTO",BTO!$AJ21,F$2="BOT/BOO",BOT・BOO!$AJ21),0)</f>
        <v>0</v>
      </c>
      <c r="G8" s="206">
        <f t="array" ref="G8">-IFERROR(_xlfn.IFS(F$2="DB",DB!$BC21,F$2="BT",BT!$BC21,F$2="DBO",DBO!$BC21,F$2="BTO",BTO!$BC21,F$2="BOT/BOO",BOT・BOO!$BC21),0)</f>
        <v>0</v>
      </c>
      <c r="H8" s="206">
        <f t="array" ref="H8">-IFERROR(_xlfn.IFS(H$2="DB",DB!$AJ21,H$2="BT",BT!$AJ21,H$2="DBO",DBO!$AJ21,H$2="BTO",BTO!$AJ21,H$2="BOT/BOO",BOT・BOO!$AJ21),0)</f>
        <v>0</v>
      </c>
      <c r="I8" s="206">
        <f t="array" ref="I8">-IFERROR(_xlfn.IFS(H$2="DB",DB!$BC21,H$2="BT",BT!$BC21,H$2="DBO",DBO!$BC21,H$2="BTO",BTO!$BC21,H$2="BOT/BOO",BOT・BOO!$BC21),0)</f>
        <v>0</v>
      </c>
      <c r="J8" s="206">
        <f t="array" ref="J8">-IFERROR(_xlfn.IFS(J$2="DB",DB!$AJ21,J$2="BT",BT!$AJ21,J$2="DBO",DBO!$AJ21,J$2="BTO",BTO!$AJ21,J$2="BOT/BOO",BOT・BOO!$AJ21),0)</f>
        <v>0</v>
      </c>
      <c r="K8" s="206">
        <f t="array" ref="K8">-IFERROR(_xlfn.IFS(J$2="DB",DB!$BC21,J$2="BT",BT!$BC21,J$2="DBO",DBO!$BC21,J$2="BTO",BTO!$BC21,J$2="BOT/BOO",BOT・BOO!$BC21),0)</f>
        <v>0</v>
      </c>
      <c r="L8" s="206">
        <f t="array" ref="L8">-IFERROR(_xlfn.IFS(L$2="DB",DB!$AJ21,L$2="BT",BT!$AJ21,L$2="DBO",DBO!$AJ21,L$2="BTO",BTO!$AJ21,L$2="BOT/BOO",BOT・BOO!$AJ21),0)</f>
        <v>0</v>
      </c>
      <c r="M8" s="206">
        <f t="array" ref="M8">-IFERROR(_xlfn.IFS(L$2="DB",DB!$BC21,L$2="BT",BT!$BC21,L$2="DBO",DBO!$BC21,L$2="BTO",BTO!$BC21,L$2="BOT/BOO",BOT・BOO!$BC21),0)</f>
        <v>0</v>
      </c>
    </row>
    <row r="9" spans="2:13">
      <c r="C9" s="27">
        <v>6</v>
      </c>
      <c r="D9" s="206">
        <f t="array" ref="D9">-IFERROR(_xlfn.IFS(D$2="DB",DB!$AJ22,D$2="BT",BT!$AJ22,D$2="DBO",DBO!$AJ22,D$2="BTO",BTO!$AJ22,D$2="BOT/BOO",BOT・BOO!$AJ22),0)</f>
        <v>60</v>
      </c>
      <c r="E9" s="206">
        <f t="array" ref="E9">-IFERROR(_xlfn.IFS(D$2="DB",DB!$BC22,D$2="BT",BT!$BC22,D$2="DBO",DBO!$BC22,D$2="BTO",BTO!$BC22,D$2="BOT/BOO",BOT・BOO!$BC22),0)</f>
        <v>183.85703826222101</v>
      </c>
      <c r="F9" s="206">
        <f t="array" ref="F9">-IFERROR(_xlfn.IFS(F$2="DB",DB!$AJ22,F$2="BT",BT!$AJ22,F$2="DBO",DBO!$AJ22,F$2="BTO",BTO!$AJ22,F$2="BOT/BOO",BOT・BOO!$AJ22),0)</f>
        <v>0</v>
      </c>
      <c r="G9" s="206">
        <f t="array" ref="G9">-IFERROR(_xlfn.IFS(F$2="DB",DB!$BC22,F$2="BT",BT!$BC22,F$2="DBO",DBO!$BC22,F$2="BTO",BTO!$BC22,F$2="BOT/BOO",BOT・BOO!$BC22),0)</f>
        <v>0</v>
      </c>
      <c r="H9" s="206">
        <f t="array" ref="H9">-IFERROR(_xlfn.IFS(H$2="DB",DB!$AJ22,H$2="BT",BT!$AJ22,H$2="DBO",DBO!$AJ22,H$2="BTO",BTO!$AJ22,H$2="BOT/BOO",BOT・BOO!$AJ22),0)</f>
        <v>0</v>
      </c>
      <c r="I9" s="206">
        <f t="array" ref="I9">-IFERROR(_xlfn.IFS(H$2="DB",DB!$BC22,H$2="BT",BT!$BC22,H$2="DBO",DBO!$BC22,H$2="BTO",BTO!$BC22,H$2="BOT/BOO",BOT・BOO!$BC22),0)</f>
        <v>0</v>
      </c>
      <c r="J9" s="206">
        <f t="array" ref="J9">-IFERROR(_xlfn.IFS(J$2="DB",DB!$AJ22,J$2="BT",BT!$AJ22,J$2="DBO",DBO!$AJ22,J$2="BTO",BTO!$AJ22,J$2="BOT/BOO",BOT・BOO!$AJ22),0)</f>
        <v>0</v>
      </c>
      <c r="K9" s="206">
        <f t="array" ref="K9">-IFERROR(_xlfn.IFS(J$2="DB",DB!$BC22,J$2="BT",BT!$BC22,J$2="DBO",DBO!$BC22,J$2="BTO",BTO!$BC22,J$2="BOT/BOO",BOT・BOO!$BC22),0)</f>
        <v>0</v>
      </c>
      <c r="L9" s="206">
        <f t="array" ref="L9">-IFERROR(_xlfn.IFS(L$2="DB",DB!$AJ22,L$2="BT",BT!$AJ22,L$2="DBO",DBO!$AJ22,L$2="BTO",BTO!$AJ22,L$2="BOT/BOO",BOT・BOO!$AJ22),0)</f>
        <v>0</v>
      </c>
      <c r="M9" s="206">
        <f t="array" ref="M9">-IFERROR(_xlfn.IFS(L$2="DB",DB!$BC22,L$2="BT",BT!$BC22,L$2="DBO",DBO!$BC22,L$2="BTO",BTO!$BC22,L$2="BOT/BOO",BOT・BOO!$BC22),0)</f>
        <v>0</v>
      </c>
    </row>
    <row r="10" spans="2:13">
      <c r="C10" s="27">
        <v>7</v>
      </c>
      <c r="D10" s="206">
        <f t="array" ref="D10">-IFERROR(_xlfn.IFS(D$2="DB",DB!$AJ23,D$2="BT",BT!$AJ23,D$2="DBO",DBO!$AJ23,D$2="BTO",BTO!$AJ23,D$2="BOT/BOO",BOT・BOO!$AJ23),0)</f>
        <v>60</v>
      </c>
      <c r="E10" s="206">
        <f t="array" ref="E10">-IFERROR(_xlfn.IFS(D$2="DB",DB!$BC23,D$2="BT",BT!$BC23,D$2="DBO",DBO!$BC23,D$2="BTO",BTO!$BC23,D$2="BOT/BOO",BOT・BOO!$BC23),0)</f>
        <v>183.85703826222101</v>
      </c>
      <c r="F10" s="206">
        <f t="array" ref="F10">-IFERROR(_xlfn.IFS(F$2="DB",DB!$AJ23,F$2="BT",BT!$AJ23,F$2="DBO",DBO!$AJ23,F$2="BTO",BTO!$AJ23,F$2="BOT/BOO",BOT・BOO!$AJ23),0)</f>
        <v>0</v>
      </c>
      <c r="G10" s="206">
        <f t="array" ref="G10">-IFERROR(_xlfn.IFS(F$2="DB",DB!$BC23,F$2="BT",BT!$BC23,F$2="DBO",DBO!$BC23,F$2="BTO",BTO!$BC23,F$2="BOT/BOO",BOT・BOO!$BC23),0)</f>
        <v>0</v>
      </c>
      <c r="H10" s="206">
        <f t="array" ref="H10">-IFERROR(_xlfn.IFS(H$2="DB",DB!$AJ23,H$2="BT",BT!$AJ23,H$2="DBO",DBO!$AJ23,H$2="BTO",BTO!$AJ23,H$2="BOT/BOO",BOT・BOO!$AJ23),0)</f>
        <v>0</v>
      </c>
      <c r="I10" s="206">
        <f t="array" ref="I10">-IFERROR(_xlfn.IFS(H$2="DB",DB!$BC23,H$2="BT",BT!$BC23,H$2="DBO",DBO!$BC23,H$2="BTO",BTO!$BC23,H$2="BOT/BOO",BOT・BOO!$BC23),0)</f>
        <v>0</v>
      </c>
      <c r="J10" s="206">
        <f t="array" ref="J10">-IFERROR(_xlfn.IFS(J$2="DB",DB!$AJ23,J$2="BT",BT!$AJ23,J$2="DBO",DBO!$AJ23,J$2="BTO",BTO!$AJ23,J$2="BOT/BOO",BOT・BOO!$AJ23),0)</f>
        <v>0</v>
      </c>
      <c r="K10" s="206">
        <f t="array" ref="K10">-IFERROR(_xlfn.IFS(J$2="DB",DB!$BC23,J$2="BT",BT!$BC23,J$2="DBO",DBO!$BC23,J$2="BTO",BTO!$BC23,J$2="BOT/BOO",BOT・BOO!$BC23),0)</f>
        <v>0</v>
      </c>
      <c r="L10" s="206">
        <f t="array" ref="L10">-IFERROR(_xlfn.IFS(L$2="DB",DB!$AJ23,L$2="BT",BT!$AJ23,L$2="DBO",DBO!$AJ23,L$2="BTO",BTO!$AJ23,L$2="BOT/BOO",BOT・BOO!$AJ23),0)</f>
        <v>0</v>
      </c>
      <c r="M10" s="206">
        <f t="array" ref="M10">-IFERROR(_xlfn.IFS(L$2="DB",DB!$BC23,L$2="BT",BT!$BC23,L$2="DBO",DBO!$BC23,L$2="BTO",BTO!$BC23,L$2="BOT/BOO",BOT・BOO!$BC23),0)</f>
        <v>0</v>
      </c>
    </row>
    <row r="11" spans="2:13">
      <c r="C11" s="27">
        <v>8</v>
      </c>
      <c r="D11" s="206">
        <f t="array" ref="D11">-IFERROR(_xlfn.IFS(D$2="DB",DB!$AJ24,D$2="BT",BT!$AJ24,D$2="DBO",DBO!$AJ24,D$2="BTO",BTO!$AJ24,D$2="BOT/BOO",BOT・BOO!$AJ24),0)</f>
        <v>60</v>
      </c>
      <c r="E11" s="206">
        <f t="array" ref="E11">-IFERROR(_xlfn.IFS(D$2="DB",DB!$BC24,D$2="BT",BT!$BC24,D$2="DBO",DBO!$BC24,D$2="BTO",BTO!$BC24,D$2="BOT/BOO",BOT・BOO!$BC24),0)</f>
        <v>183.85703826222101</v>
      </c>
      <c r="F11" s="206">
        <f t="array" ref="F11">-IFERROR(_xlfn.IFS(F$2="DB",DB!$AJ24,F$2="BT",BT!$AJ24,F$2="DBO",DBO!$AJ24,F$2="BTO",BTO!$AJ24,F$2="BOT/BOO",BOT・BOO!$AJ24),0)</f>
        <v>0</v>
      </c>
      <c r="G11" s="206">
        <f t="array" ref="G11">-IFERROR(_xlfn.IFS(F$2="DB",DB!$BC24,F$2="BT",BT!$BC24,F$2="DBO",DBO!$BC24,F$2="BTO",BTO!$BC24,F$2="BOT/BOO",BOT・BOO!$BC24),0)</f>
        <v>0</v>
      </c>
      <c r="H11" s="206">
        <f t="array" ref="H11">-IFERROR(_xlfn.IFS(H$2="DB",DB!$AJ24,H$2="BT",BT!$AJ24,H$2="DBO",DBO!$AJ24,H$2="BTO",BTO!$AJ24,H$2="BOT/BOO",BOT・BOO!$AJ24),0)</f>
        <v>0</v>
      </c>
      <c r="I11" s="206">
        <f t="array" ref="I11">-IFERROR(_xlfn.IFS(H$2="DB",DB!$BC24,H$2="BT",BT!$BC24,H$2="DBO",DBO!$BC24,H$2="BTO",BTO!$BC24,H$2="BOT/BOO",BOT・BOO!$BC24),0)</f>
        <v>0</v>
      </c>
      <c r="J11" s="206">
        <f t="array" ref="J11">-IFERROR(_xlfn.IFS(J$2="DB",DB!$AJ24,J$2="BT",BT!$AJ24,J$2="DBO",DBO!$AJ24,J$2="BTO",BTO!$AJ24,J$2="BOT/BOO",BOT・BOO!$AJ24),0)</f>
        <v>0</v>
      </c>
      <c r="K11" s="206">
        <f t="array" ref="K11">-IFERROR(_xlfn.IFS(J$2="DB",DB!$BC24,J$2="BT",BT!$BC24,J$2="DBO",DBO!$BC24,J$2="BTO",BTO!$BC24,J$2="BOT/BOO",BOT・BOO!$BC24),0)</f>
        <v>0</v>
      </c>
      <c r="L11" s="206">
        <f t="array" ref="L11">-IFERROR(_xlfn.IFS(L$2="DB",DB!$AJ24,L$2="BT",BT!$AJ24,L$2="DBO",DBO!$AJ24,L$2="BTO",BTO!$AJ24,L$2="BOT/BOO",BOT・BOO!$AJ24),0)</f>
        <v>0</v>
      </c>
      <c r="M11" s="206">
        <f t="array" ref="M11">-IFERROR(_xlfn.IFS(L$2="DB",DB!$BC24,L$2="BT",BT!$BC24,L$2="DBO",DBO!$BC24,L$2="BTO",BTO!$BC24,L$2="BOT/BOO",BOT・BOO!$BC24),0)</f>
        <v>0</v>
      </c>
    </row>
    <row r="12" spans="2:13">
      <c r="C12" s="27">
        <v>9</v>
      </c>
      <c r="D12" s="206">
        <f t="array" ref="D12">-IFERROR(_xlfn.IFS(D$2="DB",DB!$AJ25,D$2="BT",BT!$AJ25,D$2="DBO",DBO!$AJ25,D$2="BTO",BTO!$AJ25,D$2="BOT/BOO",BOT・BOO!$AJ25),0)</f>
        <v>60</v>
      </c>
      <c r="E12" s="206">
        <f t="array" ref="E12">-IFERROR(_xlfn.IFS(D$2="DB",DB!$BC25,D$2="BT",BT!$BC25,D$2="DBO",DBO!$BC25,D$2="BTO",BTO!$BC25,D$2="BOT/BOO",BOT・BOO!$BC25),0)</f>
        <v>183.85703826222101</v>
      </c>
      <c r="F12" s="206">
        <f t="array" ref="F12">-IFERROR(_xlfn.IFS(F$2="DB",DB!$AJ25,F$2="BT",BT!$AJ25,F$2="DBO",DBO!$AJ25,F$2="BTO",BTO!$AJ25,F$2="BOT/BOO",BOT・BOO!$AJ25),0)</f>
        <v>0</v>
      </c>
      <c r="G12" s="206">
        <f t="array" ref="G12">-IFERROR(_xlfn.IFS(F$2="DB",DB!$BC25,F$2="BT",BT!$BC25,F$2="DBO",DBO!$BC25,F$2="BTO",BTO!$BC25,F$2="BOT/BOO",BOT・BOO!$BC25),0)</f>
        <v>0</v>
      </c>
      <c r="H12" s="206">
        <f t="array" ref="H12">-IFERROR(_xlfn.IFS(H$2="DB",DB!$AJ25,H$2="BT",BT!$AJ25,H$2="DBO",DBO!$AJ25,H$2="BTO",BTO!$AJ25,H$2="BOT/BOO",BOT・BOO!$AJ25),0)</f>
        <v>0</v>
      </c>
      <c r="I12" s="206">
        <f t="array" ref="I12">-IFERROR(_xlfn.IFS(H$2="DB",DB!$BC25,H$2="BT",BT!$BC25,H$2="DBO",DBO!$BC25,H$2="BTO",BTO!$BC25,H$2="BOT/BOO",BOT・BOO!$BC25),0)</f>
        <v>0</v>
      </c>
      <c r="J12" s="206">
        <f t="array" ref="J12">-IFERROR(_xlfn.IFS(J$2="DB",DB!$AJ25,J$2="BT",BT!$AJ25,J$2="DBO",DBO!$AJ25,J$2="BTO",BTO!$AJ25,J$2="BOT/BOO",BOT・BOO!$AJ25),0)</f>
        <v>0</v>
      </c>
      <c r="K12" s="206">
        <f t="array" ref="K12">-IFERROR(_xlfn.IFS(J$2="DB",DB!$BC25,J$2="BT",BT!$BC25,J$2="DBO",DBO!$BC25,J$2="BTO",BTO!$BC25,J$2="BOT/BOO",BOT・BOO!$BC25),0)</f>
        <v>0</v>
      </c>
      <c r="L12" s="206">
        <f t="array" ref="L12">-IFERROR(_xlfn.IFS(L$2="DB",DB!$AJ25,L$2="BT",BT!$AJ25,L$2="DBO",DBO!$AJ25,L$2="BTO",BTO!$AJ25,L$2="BOT/BOO",BOT・BOO!$AJ25),0)</f>
        <v>0</v>
      </c>
      <c r="M12" s="206">
        <f t="array" ref="M12">-IFERROR(_xlfn.IFS(L$2="DB",DB!$BC25,L$2="BT",BT!$BC25,L$2="DBO",DBO!$BC25,L$2="BTO",BTO!$BC25,L$2="BOT/BOO",BOT・BOO!$BC25),0)</f>
        <v>0</v>
      </c>
    </row>
    <row r="13" spans="2:13">
      <c r="C13" s="27">
        <v>10</v>
      </c>
      <c r="D13" s="206">
        <f t="array" ref="D13">-IFERROR(_xlfn.IFS(D$2="DB",DB!$AJ26,D$2="BT",BT!$AJ26,D$2="DBO",DBO!$AJ26,D$2="BTO",BTO!$AJ26,D$2="BOT/BOO",BOT・BOO!$AJ26),0)</f>
        <v>60</v>
      </c>
      <c r="E13" s="206">
        <f t="array" ref="E13">-IFERROR(_xlfn.IFS(D$2="DB",DB!$BC26,D$2="BT",BT!$BC26,D$2="DBO",DBO!$BC26,D$2="BTO",BTO!$BC26,D$2="BOT/BOO",BOT・BOO!$BC26),0)</f>
        <v>183.85703826222101</v>
      </c>
      <c r="F13" s="206">
        <f t="array" ref="F13">-IFERROR(_xlfn.IFS(F$2="DB",DB!$AJ26,F$2="BT",BT!$AJ26,F$2="DBO",DBO!$AJ26,F$2="BTO",BTO!$AJ26,F$2="BOT/BOO",BOT・BOO!$AJ26),0)</f>
        <v>0</v>
      </c>
      <c r="G13" s="206">
        <f t="array" ref="G13">-IFERROR(_xlfn.IFS(F$2="DB",DB!$BC26,F$2="BT",BT!$BC26,F$2="DBO",DBO!$BC26,F$2="BTO",BTO!$BC26,F$2="BOT/BOO",BOT・BOO!$BC26),0)</f>
        <v>0</v>
      </c>
      <c r="H13" s="206">
        <f t="array" ref="H13">-IFERROR(_xlfn.IFS(H$2="DB",DB!$AJ26,H$2="BT",BT!$AJ26,H$2="DBO",DBO!$AJ26,H$2="BTO",BTO!$AJ26,H$2="BOT/BOO",BOT・BOO!$AJ26),0)</f>
        <v>0</v>
      </c>
      <c r="I13" s="206">
        <f t="array" ref="I13">-IFERROR(_xlfn.IFS(H$2="DB",DB!$BC26,H$2="BT",BT!$BC26,H$2="DBO",DBO!$BC26,H$2="BTO",BTO!$BC26,H$2="BOT/BOO",BOT・BOO!$BC26),0)</f>
        <v>0</v>
      </c>
      <c r="J13" s="206">
        <f t="array" ref="J13">-IFERROR(_xlfn.IFS(J$2="DB",DB!$AJ26,J$2="BT",BT!$AJ26,J$2="DBO",DBO!$AJ26,J$2="BTO",BTO!$AJ26,J$2="BOT/BOO",BOT・BOO!$AJ26),0)</f>
        <v>0</v>
      </c>
      <c r="K13" s="206">
        <f t="array" ref="K13">-IFERROR(_xlfn.IFS(J$2="DB",DB!$BC26,J$2="BT",BT!$BC26,J$2="DBO",DBO!$BC26,J$2="BTO",BTO!$BC26,J$2="BOT/BOO",BOT・BOO!$BC26),0)</f>
        <v>0</v>
      </c>
      <c r="L13" s="206">
        <f t="array" ref="L13">-IFERROR(_xlfn.IFS(L$2="DB",DB!$AJ26,L$2="BT",BT!$AJ26,L$2="DBO",DBO!$AJ26,L$2="BTO",BTO!$AJ26,L$2="BOT/BOO",BOT・BOO!$AJ26),0)</f>
        <v>0</v>
      </c>
      <c r="M13" s="206">
        <f t="array" ref="M13">-IFERROR(_xlfn.IFS(L$2="DB",DB!$BC26,L$2="BT",BT!$BC26,L$2="DBO",DBO!$BC26,L$2="BTO",BTO!$BC26,L$2="BOT/BOO",BOT・BOO!$BC26),0)</f>
        <v>0</v>
      </c>
    </row>
    <row r="14" spans="2:13">
      <c r="C14" s="27">
        <v>11</v>
      </c>
      <c r="D14" s="206">
        <f t="array" ref="D14">-IFERROR(_xlfn.IFS(D$2="DB",DB!$AJ27,D$2="BT",BT!$AJ27,D$2="DBO",DBO!$AJ27,D$2="BTO",BTO!$AJ27,D$2="BOT/BOO",BOT・BOO!$AJ27),0)</f>
        <v>60</v>
      </c>
      <c r="E14" s="206">
        <f t="array" ref="E14">-IFERROR(_xlfn.IFS(D$2="DB",DB!$BC27,D$2="BT",BT!$BC27,D$2="DBO",DBO!$BC27,D$2="BTO",BTO!$BC27,D$2="BOT/BOO",BOT・BOO!$BC27),0)</f>
        <v>183.85703826222101</v>
      </c>
      <c r="F14" s="206">
        <f t="array" ref="F14">-IFERROR(_xlfn.IFS(F$2="DB",DB!$AJ27,F$2="BT",BT!$AJ27,F$2="DBO",DBO!$AJ27,F$2="BTO",BTO!$AJ27,F$2="BOT/BOO",BOT・BOO!$AJ27),0)</f>
        <v>0</v>
      </c>
      <c r="G14" s="206">
        <f t="array" ref="G14">-IFERROR(_xlfn.IFS(F$2="DB",DB!$BC27,F$2="BT",BT!$BC27,F$2="DBO",DBO!$BC27,F$2="BTO",BTO!$BC27,F$2="BOT/BOO",BOT・BOO!$BC27),0)</f>
        <v>0</v>
      </c>
      <c r="H14" s="206">
        <f t="array" ref="H14">-IFERROR(_xlfn.IFS(H$2="DB",DB!$AJ27,H$2="BT",BT!$AJ27,H$2="DBO",DBO!$AJ27,H$2="BTO",BTO!$AJ27,H$2="BOT/BOO",BOT・BOO!$AJ27),0)</f>
        <v>0</v>
      </c>
      <c r="I14" s="206">
        <f t="array" ref="I14">-IFERROR(_xlfn.IFS(H$2="DB",DB!$BC27,H$2="BT",BT!$BC27,H$2="DBO",DBO!$BC27,H$2="BTO",BTO!$BC27,H$2="BOT/BOO",BOT・BOO!$BC27),0)</f>
        <v>0</v>
      </c>
      <c r="J14" s="206">
        <f t="array" ref="J14">-IFERROR(_xlfn.IFS(J$2="DB",DB!$AJ27,J$2="BT",BT!$AJ27,J$2="DBO",DBO!$AJ27,J$2="BTO",BTO!$AJ27,J$2="BOT/BOO",BOT・BOO!$AJ27),0)</f>
        <v>0</v>
      </c>
      <c r="K14" s="206">
        <f t="array" ref="K14">-IFERROR(_xlfn.IFS(J$2="DB",DB!$BC27,J$2="BT",BT!$BC27,J$2="DBO",DBO!$BC27,J$2="BTO",BTO!$BC27,J$2="BOT/BOO",BOT・BOO!$BC27),0)</f>
        <v>0</v>
      </c>
      <c r="L14" s="206">
        <f t="array" ref="L14">-IFERROR(_xlfn.IFS(L$2="DB",DB!$AJ27,L$2="BT",BT!$AJ27,L$2="DBO",DBO!$AJ27,L$2="BTO",BTO!$AJ27,L$2="BOT/BOO",BOT・BOO!$AJ27),0)</f>
        <v>0</v>
      </c>
      <c r="M14" s="206">
        <f t="array" ref="M14">-IFERROR(_xlfn.IFS(L$2="DB",DB!$BC27,L$2="BT",BT!$BC27,L$2="DBO",DBO!$BC27,L$2="BTO",BTO!$BC27,L$2="BOT/BOO",BOT・BOO!$BC27),0)</f>
        <v>0</v>
      </c>
    </row>
    <row r="15" spans="2:13">
      <c r="C15" s="27">
        <v>12</v>
      </c>
      <c r="D15" s="206">
        <f t="array" ref="D15">-IFERROR(_xlfn.IFS(D$2="DB",DB!$AJ28,D$2="BT",BT!$AJ28,D$2="DBO",DBO!$AJ28,D$2="BTO",BTO!$AJ28,D$2="BOT/BOO",BOT・BOO!$AJ28),0)</f>
        <v>60</v>
      </c>
      <c r="E15" s="206">
        <f t="array" ref="E15">-IFERROR(_xlfn.IFS(D$2="DB",DB!$BC28,D$2="BT",BT!$BC28,D$2="DBO",DBO!$BC28,D$2="BTO",BTO!$BC28,D$2="BOT/BOO",BOT・BOO!$BC28),0)</f>
        <v>183.85703826222098</v>
      </c>
      <c r="F15" s="206">
        <f t="array" ref="F15">-IFERROR(_xlfn.IFS(F$2="DB",DB!$AJ28,F$2="BT",BT!$AJ28,F$2="DBO",DBO!$AJ28,F$2="BTO",BTO!$AJ28,F$2="BOT/BOO",BOT・BOO!$AJ28),0)</f>
        <v>0</v>
      </c>
      <c r="G15" s="206">
        <f t="array" ref="G15">-IFERROR(_xlfn.IFS(F$2="DB",DB!$BC28,F$2="BT",BT!$BC28,F$2="DBO",DBO!$BC28,F$2="BTO",BTO!$BC28,F$2="BOT/BOO",BOT・BOO!$BC28),0)</f>
        <v>0</v>
      </c>
      <c r="H15" s="206">
        <f t="array" ref="H15">-IFERROR(_xlfn.IFS(H$2="DB",DB!$AJ28,H$2="BT",BT!$AJ28,H$2="DBO",DBO!$AJ28,H$2="BTO",BTO!$AJ28,H$2="BOT/BOO",BOT・BOO!$AJ28),0)</f>
        <v>0</v>
      </c>
      <c r="I15" s="206">
        <f t="array" ref="I15">-IFERROR(_xlfn.IFS(H$2="DB",DB!$BC28,H$2="BT",BT!$BC28,H$2="DBO",DBO!$BC28,H$2="BTO",BTO!$BC28,H$2="BOT/BOO",BOT・BOO!$BC28),0)</f>
        <v>0</v>
      </c>
      <c r="J15" s="206">
        <f t="array" ref="J15">-IFERROR(_xlfn.IFS(J$2="DB",DB!$AJ28,J$2="BT",BT!$AJ28,J$2="DBO",DBO!$AJ28,J$2="BTO",BTO!$AJ28,J$2="BOT/BOO",BOT・BOO!$AJ28),0)</f>
        <v>0</v>
      </c>
      <c r="K15" s="206">
        <f t="array" ref="K15">-IFERROR(_xlfn.IFS(J$2="DB",DB!$BC28,J$2="BT",BT!$BC28,J$2="DBO",DBO!$BC28,J$2="BTO",BTO!$BC28,J$2="BOT/BOO",BOT・BOO!$BC28),0)</f>
        <v>0</v>
      </c>
      <c r="L15" s="206">
        <f t="array" ref="L15">-IFERROR(_xlfn.IFS(L$2="DB",DB!$AJ28,L$2="BT",BT!$AJ28,L$2="DBO",DBO!$AJ28,L$2="BTO",BTO!$AJ28,L$2="BOT/BOO",BOT・BOO!$AJ28),0)</f>
        <v>0</v>
      </c>
      <c r="M15" s="206">
        <f t="array" ref="M15">-IFERROR(_xlfn.IFS(L$2="DB",DB!$BC28,L$2="BT",BT!$BC28,L$2="DBO",DBO!$BC28,L$2="BTO",BTO!$BC28,L$2="BOT/BOO",BOT・BOO!$BC28),0)</f>
        <v>0</v>
      </c>
    </row>
    <row r="16" spans="2:13">
      <c r="C16" s="27">
        <v>13</v>
      </c>
      <c r="D16" s="206">
        <f t="array" ref="D16">-IFERROR(_xlfn.IFS(D$2="DB",DB!$AJ29,D$2="BT",BT!$AJ29,D$2="DBO",DBO!$AJ29,D$2="BTO",BTO!$AJ29,D$2="BOT/BOO",BOT・BOO!$AJ29),0)</f>
        <v>60</v>
      </c>
      <c r="E16" s="206">
        <f t="array" ref="E16">-IFERROR(_xlfn.IFS(D$2="DB",DB!$BC29,D$2="BT",BT!$BC29,D$2="DBO",DBO!$BC29,D$2="BTO",BTO!$BC29,D$2="BOT/BOO",BOT・BOO!$BC29),0)</f>
        <v>183.85703826222101</v>
      </c>
      <c r="F16" s="206">
        <f t="array" ref="F16">-IFERROR(_xlfn.IFS(F$2="DB",DB!$AJ29,F$2="BT",BT!$AJ29,F$2="DBO",DBO!$AJ29,F$2="BTO",BTO!$AJ29,F$2="BOT/BOO",BOT・BOO!$AJ29),0)</f>
        <v>0</v>
      </c>
      <c r="G16" s="206">
        <f t="array" ref="G16">-IFERROR(_xlfn.IFS(F$2="DB",DB!$BC29,F$2="BT",BT!$BC29,F$2="DBO",DBO!$BC29,F$2="BTO",BTO!$BC29,F$2="BOT/BOO",BOT・BOO!$BC29),0)</f>
        <v>0</v>
      </c>
      <c r="H16" s="206">
        <f t="array" ref="H16">-IFERROR(_xlfn.IFS(H$2="DB",DB!$AJ29,H$2="BT",BT!$AJ29,H$2="DBO",DBO!$AJ29,H$2="BTO",BTO!$AJ29,H$2="BOT/BOO",BOT・BOO!$AJ29),0)</f>
        <v>0</v>
      </c>
      <c r="I16" s="206">
        <f t="array" ref="I16">-IFERROR(_xlfn.IFS(H$2="DB",DB!$BC29,H$2="BT",BT!$BC29,H$2="DBO",DBO!$BC29,H$2="BTO",BTO!$BC29,H$2="BOT/BOO",BOT・BOO!$BC29),0)</f>
        <v>0</v>
      </c>
      <c r="J16" s="206">
        <f t="array" ref="J16">-IFERROR(_xlfn.IFS(J$2="DB",DB!$AJ29,J$2="BT",BT!$AJ29,J$2="DBO",DBO!$AJ29,J$2="BTO",BTO!$AJ29,J$2="BOT/BOO",BOT・BOO!$AJ29),0)</f>
        <v>0</v>
      </c>
      <c r="K16" s="206">
        <f t="array" ref="K16">-IFERROR(_xlfn.IFS(J$2="DB",DB!$BC29,J$2="BT",BT!$BC29,J$2="DBO",DBO!$BC29,J$2="BTO",BTO!$BC29,J$2="BOT/BOO",BOT・BOO!$BC29),0)</f>
        <v>0</v>
      </c>
      <c r="L16" s="206">
        <f t="array" ref="L16">-IFERROR(_xlfn.IFS(L$2="DB",DB!$AJ29,L$2="BT",BT!$AJ29,L$2="DBO",DBO!$AJ29,L$2="BTO",BTO!$AJ29,L$2="BOT/BOO",BOT・BOO!$AJ29),0)</f>
        <v>0</v>
      </c>
      <c r="M16" s="206">
        <f t="array" ref="M16">-IFERROR(_xlfn.IFS(L$2="DB",DB!$BC29,L$2="BT",BT!$BC29,L$2="DBO",DBO!$BC29,L$2="BTO",BTO!$BC29,L$2="BOT/BOO",BOT・BOO!$BC29),0)</f>
        <v>0</v>
      </c>
    </row>
    <row r="17" spans="3:13">
      <c r="C17" s="27">
        <v>14</v>
      </c>
      <c r="D17" s="206">
        <f t="array" ref="D17">-IFERROR(_xlfn.IFS(D$2="DB",DB!$AJ30,D$2="BT",BT!$AJ30,D$2="DBO",DBO!$AJ30,D$2="BTO",BTO!$AJ30,D$2="BOT/BOO",BOT・BOO!$AJ30),0)</f>
        <v>60</v>
      </c>
      <c r="E17" s="206">
        <f t="array" ref="E17">-IFERROR(_xlfn.IFS(D$2="DB",DB!$BC30,D$2="BT",BT!$BC30,D$2="DBO",DBO!$BC30,D$2="BTO",BTO!$BC30,D$2="BOT/BOO",BOT・BOO!$BC30),0)</f>
        <v>183.85703826222101</v>
      </c>
      <c r="F17" s="206">
        <f t="array" ref="F17">-IFERROR(_xlfn.IFS(F$2="DB",DB!$AJ30,F$2="BT",BT!$AJ30,F$2="DBO",DBO!$AJ30,F$2="BTO",BTO!$AJ30,F$2="BOT/BOO",BOT・BOO!$AJ30),0)</f>
        <v>0</v>
      </c>
      <c r="G17" s="206">
        <f t="array" ref="G17">-IFERROR(_xlfn.IFS(F$2="DB",DB!$BC30,F$2="BT",BT!$BC30,F$2="DBO",DBO!$BC30,F$2="BTO",BTO!$BC30,F$2="BOT/BOO",BOT・BOO!$BC30),0)</f>
        <v>0</v>
      </c>
      <c r="H17" s="206">
        <f t="array" ref="H17">-IFERROR(_xlfn.IFS(H$2="DB",DB!$AJ30,H$2="BT",BT!$AJ30,H$2="DBO",DBO!$AJ30,H$2="BTO",BTO!$AJ30,H$2="BOT/BOO",BOT・BOO!$AJ30),0)</f>
        <v>0</v>
      </c>
      <c r="I17" s="206">
        <f t="array" ref="I17">-IFERROR(_xlfn.IFS(H$2="DB",DB!$BC30,H$2="BT",BT!$BC30,H$2="DBO",DBO!$BC30,H$2="BTO",BTO!$BC30,H$2="BOT/BOO",BOT・BOO!$BC30),0)</f>
        <v>0</v>
      </c>
      <c r="J17" s="206">
        <f t="array" ref="J17">-IFERROR(_xlfn.IFS(J$2="DB",DB!$AJ30,J$2="BT",BT!$AJ30,J$2="DBO",DBO!$AJ30,J$2="BTO",BTO!$AJ30,J$2="BOT/BOO",BOT・BOO!$AJ30),0)</f>
        <v>0</v>
      </c>
      <c r="K17" s="206">
        <f t="array" ref="K17">-IFERROR(_xlfn.IFS(J$2="DB",DB!$BC30,J$2="BT",BT!$BC30,J$2="DBO",DBO!$BC30,J$2="BTO",BTO!$BC30,J$2="BOT/BOO",BOT・BOO!$BC30),0)</f>
        <v>0</v>
      </c>
      <c r="L17" s="206">
        <f t="array" ref="L17">-IFERROR(_xlfn.IFS(L$2="DB",DB!$AJ30,L$2="BT",BT!$AJ30,L$2="DBO",DBO!$AJ30,L$2="BTO",BTO!$AJ30,L$2="BOT/BOO",BOT・BOO!$AJ30),0)</f>
        <v>0</v>
      </c>
      <c r="M17" s="206">
        <f t="array" ref="M17">-IFERROR(_xlfn.IFS(L$2="DB",DB!$BC30,L$2="BT",BT!$BC30,L$2="DBO",DBO!$BC30,L$2="BTO",BTO!$BC30,L$2="BOT/BOO",BOT・BOO!$BC30),0)</f>
        <v>0</v>
      </c>
    </row>
    <row r="18" spans="3:13">
      <c r="C18" s="27">
        <v>15</v>
      </c>
      <c r="D18" s="206">
        <f t="array" ref="D18">-IFERROR(_xlfn.IFS(D$2="DB",DB!$AJ31,D$2="BT",BT!$AJ31,D$2="DBO",DBO!$AJ31,D$2="BTO",BTO!$AJ31,D$2="BOT/BOO",BOT・BOO!$AJ31),0)</f>
        <v>60</v>
      </c>
      <c r="E18" s="206">
        <f t="array" ref="E18">-IFERROR(_xlfn.IFS(D$2="DB",DB!$BC31,D$2="BT",BT!$BC31,D$2="DBO",DBO!$BC31,D$2="BTO",BTO!$BC31,D$2="BOT/BOO",BOT・BOO!$BC31),0)</f>
        <v>183.85703826222101</v>
      </c>
      <c r="F18" s="206">
        <f t="array" ref="F18">-IFERROR(_xlfn.IFS(F$2="DB",DB!$AJ31,F$2="BT",BT!$AJ31,F$2="DBO",DBO!$AJ31,F$2="BTO",BTO!$AJ31,F$2="BOT/BOO",BOT・BOO!$AJ31),0)</f>
        <v>0</v>
      </c>
      <c r="G18" s="206">
        <f t="array" ref="G18">-IFERROR(_xlfn.IFS(F$2="DB",DB!$BC31,F$2="BT",BT!$BC31,F$2="DBO",DBO!$BC31,F$2="BTO",BTO!$BC31,F$2="BOT/BOO",BOT・BOO!$BC31),0)</f>
        <v>0</v>
      </c>
      <c r="H18" s="206">
        <f t="array" ref="H18">-IFERROR(_xlfn.IFS(H$2="DB",DB!$AJ31,H$2="BT",BT!$AJ31,H$2="DBO",DBO!$AJ31,H$2="BTO",BTO!$AJ31,H$2="BOT/BOO",BOT・BOO!$AJ31),0)</f>
        <v>0</v>
      </c>
      <c r="I18" s="206">
        <f t="array" ref="I18">-IFERROR(_xlfn.IFS(H$2="DB",DB!$BC31,H$2="BT",BT!$BC31,H$2="DBO",DBO!$BC31,H$2="BTO",BTO!$BC31,H$2="BOT/BOO",BOT・BOO!$BC31),0)</f>
        <v>0</v>
      </c>
      <c r="J18" s="206">
        <f t="array" ref="J18">-IFERROR(_xlfn.IFS(J$2="DB",DB!$AJ31,J$2="BT",BT!$AJ31,J$2="DBO",DBO!$AJ31,J$2="BTO",BTO!$AJ31,J$2="BOT/BOO",BOT・BOO!$AJ31),0)</f>
        <v>0</v>
      </c>
      <c r="K18" s="206">
        <f t="array" ref="K18">-IFERROR(_xlfn.IFS(J$2="DB",DB!$BC31,J$2="BT",BT!$BC31,J$2="DBO",DBO!$BC31,J$2="BTO",BTO!$BC31,J$2="BOT/BOO",BOT・BOO!$BC31),0)</f>
        <v>0</v>
      </c>
      <c r="L18" s="206">
        <f t="array" ref="L18">-IFERROR(_xlfn.IFS(L$2="DB",DB!$AJ31,L$2="BT",BT!$AJ31,L$2="DBO",DBO!$AJ31,L$2="BTO",BTO!$AJ31,L$2="BOT/BOO",BOT・BOO!$AJ31),0)</f>
        <v>0</v>
      </c>
      <c r="M18" s="206">
        <f t="array" ref="M18">-IFERROR(_xlfn.IFS(L$2="DB",DB!$BC31,L$2="BT",BT!$BC31,L$2="DBO",DBO!$BC31,L$2="BTO",BTO!$BC31,L$2="BOT/BOO",BOT・BOO!$BC31),0)</f>
        <v>0</v>
      </c>
    </row>
    <row r="19" spans="3:13">
      <c r="C19" s="27">
        <v>16</v>
      </c>
      <c r="D19" s="206">
        <f t="array" ref="D19">-IFERROR(_xlfn.IFS(D$2="DB",DB!$AJ32,D$2="BT",BT!$AJ32,D$2="DBO",DBO!$AJ32,D$2="BTO",BTO!$AJ32,D$2="BOT/BOO",BOT・BOO!$AJ32),0)</f>
        <v>60</v>
      </c>
      <c r="E19" s="206">
        <f t="array" ref="E19">-IFERROR(_xlfn.IFS(D$2="DB",DB!$BC32,D$2="BT",BT!$BC32,D$2="DBO",DBO!$BC32,D$2="BTO",BTO!$BC32,D$2="BOT/BOO",BOT・BOO!$BC32),0)</f>
        <v>183.85703826222101</v>
      </c>
      <c r="F19" s="206">
        <f t="array" ref="F19">-IFERROR(_xlfn.IFS(F$2="DB",DB!$AJ32,F$2="BT",BT!$AJ32,F$2="DBO",DBO!$AJ32,F$2="BTO",BTO!$AJ32,F$2="BOT/BOO",BOT・BOO!$AJ32),0)</f>
        <v>0</v>
      </c>
      <c r="G19" s="206">
        <f t="array" ref="G19">-IFERROR(_xlfn.IFS(F$2="DB",DB!$BC32,F$2="BT",BT!$BC32,F$2="DBO",DBO!$BC32,F$2="BTO",BTO!$BC32,F$2="BOT/BOO",BOT・BOO!$BC32),0)</f>
        <v>0</v>
      </c>
      <c r="H19" s="206">
        <f t="array" ref="H19">-IFERROR(_xlfn.IFS(H$2="DB",DB!$AJ32,H$2="BT",BT!$AJ32,H$2="DBO",DBO!$AJ32,H$2="BTO",BTO!$AJ32,H$2="BOT/BOO",BOT・BOO!$AJ32),0)</f>
        <v>0</v>
      </c>
      <c r="I19" s="206">
        <f t="array" ref="I19">-IFERROR(_xlfn.IFS(H$2="DB",DB!$BC32,H$2="BT",BT!$BC32,H$2="DBO",DBO!$BC32,H$2="BTO",BTO!$BC32,H$2="BOT/BOO",BOT・BOO!$BC32),0)</f>
        <v>0</v>
      </c>
      <c r="J19" s="206">
        <f t="array" ref="J19">-IFERROR(_xlfn.IFS(J$2="DB",DB!$AJ32,J$2="BT",BT!$AJ32,J$2="DBO",DBO!$AJ32,J$2="BTO",BTO!$AJ32,J$2="BOT/BOO",BOT・BOO!$AJ32),0)</f>
        <v>0</v>
      </c>
      <c r="K19" s="206">
        <f t="array" ref="K19">-IFERROR(_xlfn.IFS(J$2="DB",DB!$BC32,J$2="BT",BT!$BC32,J$2="DBO",DBO!$BC32,J$2="BTO",BTO!$BC32,J$2="BOT/BOO",BOT・BOO!$BC32),0)</f>
        <v>0</v>
      </c>
      <c r="L19" s="206">
        <f t="array" ref="L19">-IFERROR(_xlfn.IFS(L$2="DB",DB!$AJ32,L$2="BT",BT!$AJ32,L$2="DBO",DBO!$AJ32,L$2="BTO",BTO!$AJ32,L$2="BOT/BOO",BOT・BOO!$AJ32),0)</f>
        <v>0</v>
      </c>
      <c r="M19" s="206">
        <f t="array" ref="M19">-IFERROR(_xlfn.IFS(L$2="DB",DB!$BC32,L$2="BT",BT!$BC32,L$2="DBO",DBO!$BC32,L$2="BTO",BTO!$BC32,L$2="BOT/BOO",BOT・BOO!$BC32),0)</f>
        <v>0</v>
      </c>
    </row>
    <row r="20" spans="3:13">
      <c r="C20" s="27">
        <v>17</v>
      </c>
      <c r="D20" s="206">
        <f t="array" ref="D20">-IFERROR(_xlfn.IFS(D$2="DB",DB!$AJ33,D$2="BT",BT!$AJ33,D$2="DBO",DBO!$AJ33,D$2="BTO",BTO!$AJ33,D$2="BOT/BOO",BOT・BOO!$AJ33),0)</f>
        <v>60</v>
      </c>
      <c r="E20" s="206">
        <f t="array" ref="E20">-IFERROR(_xlfn.IFS(D$2="DB",DB!$BC33,D$2="BT",BT!$BC33,D$2="DBO",DBO!$BC33,D$2="BTO",BTO!$BC33,D$2="BOT/BOO",BOT・BOO!$BC33),0)</f>
        <v>183.85703826222098</v>
      </c>
      <c r="F20" s="206">
        <f t="array" ref="F20">-IFERROR(_xlfn.IFS(F$2="DB",DB!$AJ33,F$2="BT",BT!$AJ33,F$2="DBO",DBO!$AJ33,F$2="BTO",BTO!$AJ33,F$2="BOT/BOO",BOT・BOO!$AJ33),0)</f>
        <v>0</v>
      </c>
      <c r="G20" s="206">
        <f t="array" ref="G20">-IFERROR(_xlfn.IFS(F$2="DB",DB!$BC33,F$2="BT",BT!$BC33,F$2="DBO",DBO!$BC33,F$2="BTO",BTO!$BC33,F$2="BOT/BOO",BOT・BOO!$BC33),0)</f>
        <v>0</v>
      </c>
      <c r="H20" s="206">
        <f t="array" ref="H20">-IFERROR(_xlfn.IFS(H$2="DB",DB!$AJ33,H$2="BT",BT!$AJ33,H$2="DBO",DBO!$AJ33,H$2="BTO",BTO!$AJ33,H$2="BOT/BOO",BOT・BOO!$AJ33),0)</f>
        <v>0</v>
      </c>
      <c r="I20" s="206">
        <f t="array" ref="I20">-IFERROR(_xlfn.IFS(H$2="DB",DB!$BC33,H$2="BT",BT!$BC33,H$2="DBO",DBO!$BC33,H$2="BTO",BTO!$BC33,H$2="BOT/BOO",BOT・BOO!$BC33),0)</f>
        <v>0</v>
      </c>
      <c r="J20" s="206">
        <f t="array" ref="J20">-IFERROR(_xlfn.IFS(J$2="DB",DB!$AJ33,J$2="BT",BT!$AJ33,J$2="DBO",DBO!$AJ33,J$2="BTO",BTO!$AJ33,J$2="BOT/BOO",BOT・BOO!$AJ33),0)</f>
        <v>0</v>
      </c>
      <c r="K20" s="206">
        <f t="array" ref="K20">-IFERROR(_xlfn.IFS(J$2="DB",DB!$BC33,J$2="BT",BT!$BC33,J$2="DBO",DBO!$BC33,J$2="BTO",BTO!$BC33,J$2="BOT/BOO",BOT・BOO!$BC33),0)</f>
        <v>0</v>
      </c>
      <c r="L20" s="206">
        <f t="array" ref="L20">-IFERROR(_xlfn.IFS(L$2="DB",DB!$AJ33,L$2="BT",BT!$AJ33,L$2="DBO",DBO!$AJ33,L$2="BTO",BTO!$AJ33,L$2="BOT/BOO",BOT・BOO!$AJ33),0)</f>
        <v>0</v>
      </c>
      <c r="M20" s="206">
        <f t="array" ref="M20">-IFERROR(_xlfn.IFS(L$2="DB",DB!$BC33,L$2="BT",BT!$BC33,L$2="DBO",DBO!$BC33,L$2="BTO",BTO!$BC33,L$2="BOT/BOO",BOT・BOO!$BC33),0)</f>
        <v>0</v>
      </c>
    </row>
    <row r="21" spans="3:13">
      <c r="C21" s="27">
        <v>18</v>
      </c>
      <c r="D21" s="206">
        <f t="array" ref="D21">-IFERROR(_xlfn.IFS(D$2="DB",DB!$AJ34,D$2="BT",BT!$AJ34,D$2="DBO",DBO!$AJ34,D$2="BTO",BTO!$AJ34,D$2="BOT/BOO",BOT・BOO!$AJ34),0)</f>
        <v>60</v>
      </c>
      <c r="E21" s="206">
        <f t="array" ref="E21">-IFERROR(_xlfn.IFS(D$2="DB",DB!$BC34,D$2="BT",BT!$BC34,D$2="DBO",DBO!$BC34,D$2="BTO",BTO!$BC34,D$2="BOT/BOO",BOT・BOO!$BC34),0)</f>
        <v>183.85703826222101</v>
      </c>
      <c r="F21" s="206">
        <f t="array" ref="F21">-IFERROR(_xlfn.IFS(F$2="DB",DB!$AJ34,F$2="BT",BT!$AJ34,F$2="DBO",DBO!$AJ34,F$2="BTO",BTO!$AJ34,F$2="BOT/BOO",BOT・BOO!$AJ34),0)</f>
        <v>0</v>
      </c>
      <c r="G21" s="206">
        <f t="array" ref="G21">-IFERROR(_xlfn.IFS(F$2="DB",DB!$BC34,F$2="BT",BT!$BC34,F$2="DBO",DBO!$BC34,F$2="BTO",BTO!$BC34,F$2="BOT/BOO",BOT・BOO!$BC34),0)</f>
        <v>0</v>
      </c>
      <c r="H21" s="206">
        <f t="array" ref="H21">-IFERROR(_xlfn.IFS(H$2="DB",DB!$AJ34,H$2="BT",BT!$AJ34,H$2="DBO",DBO!$AJ34,H$2="BTO",BTO!$AJ34,H$2="BOT/BOO",BOT・BOO!$AJ34),0)</f>
        <v>0</v>
      </c>
      <c r="I21" s="206">
        <f t="array" ref="I21">-IFERROR(_xlfn.IFS(H$2="DB",DB!$BC34,H$2="BT",BT!$BC34,H$2="DBO",DBO!$BC34,H$2="BTO",BTO!$BC34,H$2="BOT/BOO",BOT・BOO!$BC34),0)</f>
        <v>0</v>
      </c>
      <c r="J21" s="206">
        <f t="array" ref="J21">-IFERROR(_xlfn.IFS(J$2="DB",DB!$AJ34,J$2="BT",BT!$AJ34,J$2="DBO",DBO!$AJ34,J$2="BTO",BTO!$AJ34,J$2="BOT/BOO",BOT・BOO!$AJ34),0)</f>
        <v>0</v>
      </c>
      <c r="K21" s="206">
        <f t="array" ref="K21">-IFERROR(_xlfn.IFS(J$2="DB",DB!$BC34,J$2="BT",BT!$BC34,J$2="DBO",DBO!$BC34,J$2="BTO",BTO!$BC34,J$2="BOT/BOO",BOT・BOO!$BC34),0)</f>
        <v>0</v>
      </c>
      <c r="L21" s="206">
        <f t="array" ref="L21">-IFERROR(_xlfn.IFS(L$2="DB",DB!$AJ34,L$2="BT",BT!$AJ34,L$2="DBO",DBO!$AJ34,L$2="BTO",BTO!$AJ34,L$2="BOT/BOO",BOT・BOO!$AJ34),0)</f>
        <v>0</v>
      </c>
      <c r="M21" s="206">
        <f t="array" ref="M21">-IFERROR(_xlfn.IFS(L$2="DB",DB!$BC34,L$2="BT",BT!$BC34,L$2="DBO",DBO!$BC34,L$2="BTO",BTO!$BC34,L$2="BOT/BOO",BOT・BOO!$BC34),0)</f>
        <v>0</v>
      </c>
    </row>
    <row r="22" spans="3:13">
      <c r="C22" s="27">
        <v>19</v>
      </c>
      <c r="D22" s="206">
        <f t="array" ref="D22">-IFERROR(_xlfn.IFS(D$2="DB",DB!$AJ35,D$2="BT",BT!$AJ35,D$2="DBO",DBO!$AJ35,D$2="BTO",BTO!$AJ35,D$2="BOT/BOO",BOT・BOO!$AJ35),0)</f>
        <v>60</v>
      </c>
      <c r="E22" s="206">
        <f t="array" ref="E22">-IFERROR(_xlfn.IFS(D$2="DB",DB!$BC35,D$2="BT",BT!$BC35,D$2="DBO",DBO!$BC35,D$2="BTO",BTO!$BC35,D$2="BOT/BOO",BOT・BOO!$BC35),0)</f>
        <v>183.85703826222101</v>
      </c>
      <c r="F22" s="206">
        <f t="array" ref="F22">-IFERROR(_xlfn.IFS(F$2="DB",DB!$AJ35,F$2="BT",BT!$AJ35,F$2="DBO",DBO!$AJ35,F$2="BTO",BTO!$AJ35,F$2="BOT/BOO",BOT・BOO!$AJ35),0)</f>
        <v>0</v>
      </c>
      <c r="G22" s="206">
        <f t="array" ref="G22">-IFERROR(_xlfn.IFS(F$2="DB",DB!$BC35,F$2="BT",BT!$BC35,F$2="DBO",DBO!$BC35,F$2="BTO",BTO!$BC35,F$2="BOT/BOO",BOT・BOO!$BC35),0)</f>
        <v>0</v>
      </c>
      <c r="H22" s="206">
        <f t="array" ref="H22">-IFERROR(_xlfn.IFS(H$2="DB",DB!$AJ35,H$2="BT",BT!$AJ35,H$2="DBO",DBO!$AJ35,H$2="BTO",BTO!$AJ35,H$2="BOT/BOO",BOT・BOO!$AJ35),0)</f>
        <v>0</v>
      </c>
      <c r="I22" s="206">
        <f t="array" ref="I22">-IFERROR(_xlfn.IFS(H$2="DB",DB!$BC35,H$2="BT",BT!$BC35,H$2="DBO",DBO!$BC35,H$2="BTO",BTO!$BC35,H$2="BOT/BOO",BOT・BOO!$BC35),0)</f>
        <v>0</v>
      </c>
      <c r="J22" s="206">
        <f t="array" ref="J22">-IFERROR(_xlfn.IFS(J$2="DB",DB!$AJ35,J$2="BT",BT!$AJ35,J$2="DBO",DBO!$AJ35,J$2="BTO",BTO!$AJ35,J$2="BOT/BOO",BOT・BOO!$AJ35),0)</f>
        <v>0</v>
      </c>
      <c r="K22" s="206">
        <f t="array" ref="K22">-IFERROR(_xlfn.IFS(J$2="DB",DB!$BC35,J$2="BT",BT!$BC35,J$2="DBO",DBO!$BC35,J$2="BTO",BTO!$BC35,J$2="BOT/BOO",BOT・BOO!$BC35),0)</f>
        <v>0</v>
      </c>
      <c r="L22" s="206">
        <f t="array" ref="L22">-IFERROR(_xlfn.IFS(L$2="DB",DB!$AJ35,L$2="BT",BT!$AJ35,L$2="DBO",DBO!$AJ35,L$2="BTO",BTO!$AJ35,L$2="BOT/BOO",BOT・BOO!$AJ35),0)</f>
        <v>0</v>
      </c>
      <c r="M22" s="206">
        <f t="array" ref="M22">-IFERROR(_xlfn.IFS(L$2="DB",DB!$BC35,L$2="BT",BT!$BC35,L$2="DBO",DBO!$BC35,L$2="BTO",BTO!$BC35,L$2="BOT/BOO",BOT・BOO!$BC35),0)</f>
        <v>0</v>
      </c>
    </row>
    <row r="23" spans="3:13">
      <c r="C23" s="27">
        <v>20</v>
      </c>
      <c r="D23" s="206">
        <f t="array" ref="D23">-IFERROR(_xlfn.IFS(D$2="DB",DB!$AJ36,D$2="BT",BT!$AJ36,D$2="DBO",DBO!$AJ36,D$2="BTO",BTO!$AJ36,D$2="BOT/BOO",BOT・BOO!$AJ36),0)</f>
        <v>60</v>
      </c>
      <c r="E23" s="206">
        <f t="array" ref="E23">-IFERROR(_xlfn.IFS(D$2="DB",DB!$BC36,D$2="BT",BT!$BC36,D$2="DBO",DBO!$BC36,D$2="BTO",BTO!$BC36,D$2="BOT/BOO",BOT・BOO!$BC36),0)</f>
        <v>183.85703826222101</v>
      </c>
      <c r="F23" s="206">
        <f t="array" ref="F23">-IFERROR(_xlfn.IFS(F$2="DB",DB!$AJ36,F$2="BT",BT!$AJ36,F$2="DBO",DBO!$AJ36,F$2="BTO",BTO!$AJ36,F$2="BOT/BOO",BOT・BOO!$AJ36),0)</f>
        <v>0</v>
      </c>
      <c r="G23" s="206">
        <f t="array" ref="G23">-IFERROR(_xlfn.IFS(F$2="DB",DB!$BC36,F$2="BT",BT!$BC36,F$2="DBO",DBO!$BC36,F$2="BTO",BTO!$BC36,F$2="BOT/BOO",BOT・BOO!$BC36),0)</f>
        <v>0</v>
      </c>
      <c r="H23" s="206">
        <f t="array" ref="H23">-IFERROR(_xlfn.IFS(H$2="DB",DB!$AJ36,H$2="BT",BT!$AJ36,H$2="DBO",DBO!$AJ36,H$2="BTO",BTO!$AJ36,H$2="BOT/BOO",BOT・BOO!$AJ36),0)</f>
        <v>0</v>
      </c>
      <c r="I23" s="206">
        <f t="array" ref="I23">-IFERROR(_xlfn.IFS(H$2="DB",DB!$BC36,H$2="BT",BT!$BC36,H$2="DBO",DBO!$BC36,H$2="BTO",BTO!$BC36,H$2="BOT/BOO",BOT・BOO!$BC36),0)</f>
        <v>0</v>
      </c>
      <c r="J23" s="206">
        <f t="array" ref="J23">-IFERROR(_xlfn.IFS(J$2="DB",DB!$AJ36,J$2="BT",BT!$AJ36,J$2="DBO",DBO!$AJ36,J$2="BTO",BTO!$AJ36,J$2="BOT/BOO",BOT・BOO!$AJ36),0)</f>
        <v>0</v>
      </c>
      <c r="K23" s="206">
        <f t="array" ref="K23">-IFERROR(_xlfn.IFS(J$2="DB",DB!$BC36,J$2="BT",BT!$BC36,J$2="DBO",DBO!$BC36,J$2="BTO",BTO!$BC36,J$2="BOT/BOO",BOT・BOO!$BC36),0)</f>
        <v>0</v>
      </c>
      <c r="L23" s="206">
        <f t="array" ref="L23">-IFERROR(_xlfn.IFS(L$2="DB",DB!$AJ36,L$2="BT",BT!$AJ36,L$2="DBO",DBO!$AJ36,L$2="BTO",BTO!$AJ36,L$2="BOT/BOO",BOT・BOO!$AJ36),0)</f>
        <v>0</v>
      </c>
      <c r="M23" s="206">
        <f t="array" ref="M23">-IFERROR(_xlfn.IFS(L$2="DB",DB!$BC36,L$2="BT",BT!$BC36,L$2="DBO",DBO!$BC36,L$2="BTO",BTO!$BC36,L$2="BOT/BOO",BOT・BOO!$BC36),0)</f>
        <v>0</v>
      </c>
    </row>
    <row r="24" spans="3:13">
      <c r="C24" s="27">
        <v>21</v>
      </c>
      <c r="D24" s="206">
        <f t="array" ref="D24">-IFERROR(_xlfn.IFS(D$2="DB",DB!$AJ37,D$2="BT",BT!$AJ37,D$2="DBO",DBO!$AJ37,D$2="BTO",BTO!$AJ37,D$2="BOT/BOO",BOT・BOO!$AJ37),0)</f>
        <v>60</v>
      </c>
      <c r="E24" s="206">
        <f t="array" ref="E24">-IFERROR(_xlfn.IFS(D$2="DB",DB!$BC37,D$2="BT",BT!$BC37,D$2="DBO",DBO!$BC37,D$2="BTO",BTO!$BC37,D$2="BOT/BOO",BOT・BOO!$BC37),0)</f>
        <v>183.85703826222101</v>
      </c>
      <c r="F24" s="206">
        <f t="array" ref="F24">-IFERROR(_xlfn.IFS(F$2="DB",DB!$AJ37,F$2="BT",BT!$AJ37,F$2="DBO",DBO!$AJ37,F$2="BTO",BTO!$AJ37,F$2="BOT/BOO",BOT・BOO!$AJ37),0)</f>
        <v>0</v>
      </c>
      <c r="G24" s="206">
        <f t="array" ref="G24">-IFERROR(_xlfn.IFS(F$2="DB",DB!$BC37,F$2="BT",BT!$BC37,F$2="DBO",DBO!$BC37,F$2="BTO",BTO!$BC37,F$2="BOT/BOO",BOT・BOO!$BC37),0)</f>
        <v>0</v>
      </c>
      <c r="H24" s="206">
        <f t="array" ref="H24">-IFERROR(_xlfn.IFS(H$2="DB",DB!$AJ37,H$2="BT",BT!$AJ37,H$2="DBO",DBO!$AJ37,H$2="BTO",BTO!$AJ37,H$2="BOT/BOO",BOT・BOO!$AJ37),0)</f>
        <v>0</v>
      </c>
      <c r="I24" s="206">
        <f t="array" ref="I24">-IFERROR(_xlfn.IFS(H$2="DB",DB!$BC37,H$2="BT",BT!$BC37,H$2="DBO",DBO!$BC37,H$2="BTO",BTO!$BC37,H$2="BOT/BOO",BOT・BOO!$BC37),0)</f>
        <v>0</v>
      </c>
      <c r="J24" s="206">
        <f t="array" ref="J24">-IFERROR(_xlfn.IFS(J$2="DB",DB!$AJ37,J$2="BT",BT!$AJ37,J$2="DBO",DBO!$AJ37,J$2="BTO",BTO!$AJ37,J$2="BOT/BOO",BOT・BOO!$AJ37),0)</f>
        <v>0</v>
      </c>
      <c r="K24" s="206">
        <f t="array" ref="K24">-IFERROR(_xlfn.IFS(J$2="DB",DB!$BC37,J$2="BT",BT!$BC37,J$2="DBO",DBO!$BC37,J$2="BTO",BTO!$BC37,J$2="BOT/BOO",BOT・BOO!$BC37),0)</f>
        <v>0</v>
      </c>
      <c r="L24" s="206">
        <f t="array" ref="L24">-IFERROR(_xlfn.IFS(L$2="DB",DB!$AJ37,L$2="BT",BT!$AJ37,L$2="DBO",DBO!$AJ37,L$2="BTO",BTO!$AJ37,L$2="BOT/BOO",BOT・BOO!$AJ37),0)</f>
        <v>0</v>
      </c>
      <c r="M24" s="206">
        <f t="array" ref="M24">-IFERROR(_xlfn.IFS(L$2="DB",DB!$BC37,L$2="BT",BT!$BC37,L$2="DBO",DBO!$BC37,L$2="BTO",BTO!$BC37,L$2="BOT/BOO",BOT・BOO!$BC37),0)</f>
        <v>0</v>
      </c>
    </row>
    <row r="25" spans="3:13">
      <c r="C25" s="27">
        <v>22</v>
      </c>
      <c r="D25" s="206">
        <f t="array" ref="D25">-IFERROR(_xlfn.IFS(D$2="DB",DB!$AJ38,D$2="BT",BT!$AJ38,D$2="DBO",DBO!$AJ38,D$2="BTO",BTO!$AJ38,D$2="BOT/BOO",BOT・BOO!$AJ38),0)</f>
        <v>60</v>
      </c>
      <c r="E25" s="206">
        <f t="array" ref="E25">-IFERROR(_xlfn.IFS(D$2="DB",DB!$BC38,D$2="BT",BT!$BC38,D$2="DBO",DBO!$BC38,D$2="BTO",BTO!$BC38,D$2="BOT/BOO",BOT・BOO!$BC38),0)</f>
        <v>183.85703826222101</v>
      </c>
      <c r="F25" s="206">
        <f t="array" ref="F25">-IFERROR(_xlfn.IFS(F$2="DB",DB!$AJ38,F$2="BT",BT!$AJ38,F$2="DBO",DBO!$AJ38,F$2="BTO",BTO!$AJ38,F$2="BOT/BOO",BOT・BOO!$AJ38),0)</f>
        <v>0</v>
      </c>
      <c r="G25" s="206">
        <f t="array" ref="G25">-IFERROR(_xlfn.IFS(F$2="DB",DB!$BC38,F$2="BT",BT!$BC38,F$2="DBO",DBO!$BC38,F$2="BTO",BTO!$BC38,F$2="BOT/BOO",BOT・BOO!$BC38),0)</f>
        <v>0</v>
      </c>
      <c r="H25" s="206">
        <f t="array" ref="H25">-IFERROR(_xlfn.IFS(H$2="DB",DB!$AJ38,H$2="BT",BT!$AJ38,H$2="DBO",DBO!$AJ38,H$2="BTO",BTO!$AJ38,H$2="BOT/BOO",BOT・BOO!$AJ38),0)</f>
        <v>0</v>
      </c>
      <c r="I25" s="206">
        <f t="array" ref="I25">-IFERROR(_xlfn.IFS(H$2="DB",DB!$BC38,H$2="BT",BT!$BC38,H$2="DBO",DBO!$BC38,H$2="BTO",BTO!$BC38,H$2="BOT/BOO",BOT・BOO!$BC38),0)</f>
        <v>0</v>
      </c>
      <c r="J25" s="206">
        <f t="array" ref="J25">-IFERROR(_xlfn.IFS(J$2="DB",DB!$AJ38,J$2="BT",BT!$AJ38,J$2="DBO",DBO!$AJ38,J$2="BTO",BTO!$AJ38,J$2="BOT/BOO",BOT・BOO!$AJ38),0)</f>
        <v>0</v>
      </c>
      <c r="K25" s="206">
        <f t="array" ref="K25">-IFERROR(_xlfn.IFS(J$2="DB",DB!$BC38,J$2="BT",BT!$BC38,J$2="DBO",DBO!$BC38,J$2="BTO",BTO!$BC38,J$2="BOT/BOO",BOT・BOO!$BC38),0)</f>
        <v>0</v>
      </c>
      <c r="L25" s="206">
        <f t="array" ref="L25">-IFERROR(_xlfn.IFS(L$2="DB",DB!$AJ38,L$2="BT",BT!$AJ38,L$2="DBO",DBO!$AJ38,L$2="BTO",BTO!$AJ38,L$2="BOT/BOO",BOT・BOO!$AJ38),0)</f>
        <v>0</v>
      </c>
      <c r="M25" s="206">
        <f t="array" ref="M25">-IFERROR(_xlfn.IFS(L$2="DB",DB!$BC38,L$2="BT",BT!$BC38,L$2="DBO",DBO!$BC38,L$2="BTO",BTO!$BC38,L$2="BOT/BOO",BOT・BOO!$BC38),0)</f>
        <v>0</v>
      </c>
    </row>
    <row r="26" spans="3:13">
      <c r="C26" s="27">
        <v>23</v>
      </c>
      <c r="D26" s="206">
        <f t="array" ref="D26">-IFERROR(_xlfn.IFS(D$2="DB",DB!$AJ39,D$2="BT",BT!$AJ39,D$2="DBO",DBO!$AJ39,D$2="BTO",BTO!$AJ39,D$2="BOT/BOO",BOT・BOO!$AJ39),0)</f>
        <v>60</v>
      </c>
      <c r="E26" s="206">
        <f t="array" ref="E26">-IFERROR(_xlfn.IFS(D$2="DB",DB!$BC39,D$2="BT",BT!$BC39,D$2="DBO",DBO!$BC39,D$2="BTO",BTO!$BC39,D$2="BOT/BOO",BOT・BOO!$BC39),0)</f>
        <v>183.85703826222101</v>
      </c>
      <c r="F26" s="206">
        <f t="array" ref="F26">-IFERROR(_xlfn.IFS(F$2="DB",DB!$AJ39,F$2="BT",BT!$AJ39,F$2="DBO",DBO!$AJ39,F$2="BTO",BTO!$AJ39,F$2="BOT/BOO",BOT・BOO!$AJ39),0)</f>
        <v>0</v>
      </c>
      <c r="G26" s="206">
        <f t="array" ref="G26">-IFERROR(_xlfn.IFS(F$2="DB",DB!$BC39,F$2="BT",BT!$BC39,F$2="DBO",DBO!$BC39,F$2="BTO",BTO!$BC39,F$2="BOT/BOO",BOT・BOO!$BC39),0)</f>
        <v>0</v>
      </c>
      <c r="H26" s="206">
        <f t="array" ref="H26">-IFERROR(_xlfn.IFS(H$2="DB",DB!$AJ39,H$2="BT",BT!$AJ39,H$2="DBO",DBO!$AJ39,H$2="BTO",BTO!$AJ39,H$2="BOT/BOO",BOT・BOO!$AJ39),0)</f>
        <v>0</v>
      </c>
      <c r="I26" s="206">
        <f t="array" ref="I26">-IFERROR(_xlfn.IFS(H$2="DB",DB!$BC39,H$2="BT",BT!$BC39,H$2="DBO",DBO!$BC39,H$2="BTO",BTO!$BC39,H$2="BOT/BOO",BOT・BOO!$BC39),0)</f>
        <v>0</v>
      </c>
      <c r="J26" s="206">
        <f t="array" ref="J26">-IFERROR(_xlfn.IFS(J$2="DB",DB!$AJ39,J$2="BT",BT!$AJ39,J$2="DBO",DBO!$AJ39,J$2="BTO",BTO!$AJ39,J$2="BOT/BOO",BOT・BOO!$AJ39),0)</f>
        <v>0</v>
      </c>
      <c r="K26" s="206">
        <f t="array" ref="K26">-IFERROR(_xlfn.IFS(J$2="DB",DB!$BC39,J$2="BT",BT!$BC39,J$2="DBO",DBO!$BC39,J$2="BTO",BTO!$BC39,J$2="BOT/BOO",BOT・BOO!$BC39),0)</f>
        <v>0</v>
      </c>
      <c r="L26" s="206">
        <f t="array" ref="L26">-IFERROR(_xlfn.IFS(L$2="DB",DB!$AJ39,L$2="BT",BT!$AJ39,L$2="DBO",DBO!$AJ39,L$2="BTO",BTO!$AJ39,L$2="BOT/BOO",BOT・BOO!$AJ39),0)</f>
        <v>0</v>
      </c>
      <c r="M26" s="206">
        <f t="array" ref="M26">-IFERROR(_xlfn.IFS(L$2="DB",DB!$BC39,L$2="BT",BT!$BC39,L$2="DBO",DBO!$BC39,L$2="BTO",BTO!$BC39,L$2="BOT/BOO",BOT・BOO!$BC39),0)</f>
        <v>0</v>
      </c>
    </row>
    <row r="27" spans="3:13">
      <c r="C27" s="27">
        <v>24</v>
      </c>
      <c r="D27" s="206">
        <f t="array" ref="D27">-IFERROR(_xlfn.IFS(D$2="DB",DB!$AJ40,D$2="BT",BT!$AJ40,D$2="DBO",DBO!$AJ40,D$2="BTO",BTO!$AJ40,D$2="BOT/BOO",BOT・BOO!$AJ40),0)</f>
        <v>0</v>
      </c>
      <c r="E27" s="206">
        <f t="array" ref="E27">-IFERROR(_xlfn.IFS(D$2="DB",DB!$BC40,D$2="BT",BT!$BC40,D$2="DBO",DBO!$BC40,D$2="BTO",BTO!$BC40,D$2="BOT/BOO",BOT・BOO!$BC40),0)</f>
        <v>0</v>
      </c>
      <c r="F27" s="206">
        <f t="array" ref="F27">-IFERROR(_xlfn.IFS(F$2="DB",DB!$AJ40,F$2="BT",BT!$AJ40,F$2="DBO",DBO!$AJ40,F$2="BTO",BTO!$AJ40,F$2="BOT/BOO",BOT・BOO!$AJ40),0)</f>
        <v>0</v>
      </c>
      <c r="G27" s="206">
        <f t="array" ref="G27">-IFERROR(_xlfn.IFS(F$2="DB",DB!$BC40,F$2="BT",BT!$BC40,F$2="DBO",DBO!$BC40,F$2="BTO",BTO!$BC40,F$2="BOT/BOO",BOT・BOO!$BC40),0)</f>
        <v>0</v>
      </c>
      <c r="H27" s="206">
        <f t="array" ref="H27">-IFERROR(_xlfn.IFS(H$2="DB",DB!$AJ40,H$2="BT",BT!$AJ40,H$2="DBO",DBO!$AJ40,H$2="BTO",BTO!$AJ40,H$2="BOT/BOO",BOT・BOO!$AJ40),0)</f>
        <v>0</v>
      </c>
      <c r="I27" s="206">
        <f t="array" ref="I27">-IFERROR(_xlfn.IFS(H$2="DB",DB!$BC40,H$2="BT",BT!$BC40,H$2="DBO",DBO!$BC40,H$2="BTO",BTO!$BC40,H$2="BOT/BOO",BOT・BOO!$BC40),0)</f>
        <v>0</v>
      </c>
      <c r="J27" s="206">
        <f t="array" ref="J27">-IFERROR(_xlfn.IFS(J$2="DB",DB!$AJ40,J$2="BT",BT!$AJ40,J$2="DBO",DBO!$AJ40,J$2="BTO",BTO!$AJ40,J$2="BOT/BOO",BOT・BOO!$AJ40),0)</f>
        <v>0</v>
      </c>
      <c r="K27" s="206">
        <f t="array" ref="K27">-IFERROR(_xlfn.IFS(J$2="DB",DB!$BC40,J$2="BT",BT!$BC40,J$2="DBO",DBO!$BC40,J$2="BTO",BTO!$BC40,J$2="BOT/BOO",BOT・BOO!$BC40),0)</f>
        <v>0</v>
      </c>
      <c r="L27" s="206">
        <f t="array" ref="L27">-IFERROR(_xlfn.IFS(L$2="DB",DB!$AJ40,L$2="BT",BT!$AJ40,L$2="DBO",DBO!$AJ40,L$2="BTO",BTO!$AJ40,L$2="BOT/BOO",BOT・BOO!$AJ40),0)</f>
        <v>0</v>
      </c>
      <c r="M27" s="206">
        <f t="array" ref="M27">-IFERROR(_xlfn.IFS(L$2="DB",DB!$BC40,L$2="BT",BT!$BC40,L$2="DBO",DBO!$BC40,L$2="BTO",BTO!$BC40,L$2="BOT/BOO",BOT・BOO!$BC40),0)</f>
        <v>0</v>
      </c>
    </row>
    <row r="28" spans="3:13">
      <c r="C28" s="27">
        <v>25</v>
      </c>
      <c r="D28" s="206">
        <f t="array" ref="D28">-IFERROR(_xlfn.IFS(D$2="DB",DB!$AJ41,D$2="BT",BT!$AJ41,D$2="DBO",DBO!$AJ41,D$2="BTO",BTO!$AJ41,D$2="BOT/BOO",BOT・BOO!$AJ41),0)</f>
        <v>0</v>
      </c>
      <c r="E28" s="206">
        <f t="array" ref="E28">-IFERROR(_xlfn.IFS(D$2="DB",DB!$BC41,D$2="BT",BT!$BC41,D$2="DBO",DBO!$BC41,D$2="BTO",BTO!$BC41,D$2="BOT/BOO",BOT・BOO!$BC41),0)</f>
        <v>0</v>
      </c>
      <c r="F28" s="206">
        <f t="array" ref="F28">-IFERROR(_xlfn.IFS(F$2="DB",DB!$AJ41,F$2="BT",BT!$AJ41,F$2="DBO",DBO!$AJ41,F$2="BTO",BTO!$AJ41,F$2="BOT/BOO",BOT・BOO!$AJ41),0)</f>
        <v>0</v>
      </c>
      <c r="G28" s="206">
        <f t="array" ref="G28">-IFERROR(_xlfn.IFS(F$2="DB",DB!$BC41,F$2="BT",BT!$BC41,F$2="DBO",DBO!$BC41,F$2="BTO",BTO!$BC41,F$2="BOT/BOO",BOT・BOO!$BC41),0)</f>
        <v>0</v>
      </c>
      <c r="H28" s="206">
        <f t="array" ref="H28">-IFERROR(_xlfn.IFS(H$2="DB",DB!$AJ41,H$2="BT",BT!$AJ41,H$2="DBO",DBO!$AJ41,H$2="BTO",BTO!$AJ41,H$2="BOT/BOO",BOT・BOO!$AJ41),0)</f>
        <v>0</v>
      </c>
      <c r="I28" s="206">
        <f t="array" ref="I28">-IFERROR(_xlfn.IFS(H$2="DB",DB!$BC41,H$2="BT",BT!$BC41,H$2="DBO",DBO!$BC41,H$2="BTO",BTO!$BC41,H$2="BOT/BOO",BOT・BOO!$BC41),0)</f>
        <v>0</v>
      </c>
      <c r="J28" s="206">
        <f t="array" ref="J28">-IFERROR(_xlfn.IFS(J$2="DB",DB!$AJ41,J$2="BT",BT!$AJ41,J$2="DBO",DBO!$AJ41,J$2="BTO",BTO!$AJ41,J$2="BOT/BOO",BOT・BOO!$AJ41),0)</f>
        <v>0</v>
      </c>
      <c r="K28" s="206">
        <f t="array" ref="K28">-IFERROR(_xlfn.IFS(J$2="DB",DB!$BC41,J$2="BT",BT!$BC41,J$2="DBO",DBO!$BC41,J$2="BTO",BTO!$BC41,J$2="BOT/BOO",BOT・BOO!$BC41),0)</f>
        <v>0</v>
      </c>
      <c r="L28" s="206">
        <f t="array" ref="L28">-IFERROR(_xlfn.IFS(L$2="DB",DB!$AJ41,L$2="BT",BT!$AJ41,L$2="DBO",DBO!$AJ41,L$2="BTO",BTO!$AJ41,L$2="BOT/BOO",BOT・BOO!$AJ41),0)</f>
        <v>0</v>
      </c>
      <c r="M28" s="206">
        <f t="array" ref="M28">-IFERROR(_xlfn.IFS(L$2="DB",DB!$BC41,L$2="BT",BT!$BC41,L$2="DBO",DBO!$BC41,L$2="BTO",BTO!$BC41,L$2="BOT/BOO",BOT・BOO!$BC41),0)</f>
        <v>0</v>
      </c>
    </row>
    <row r="29" spans="3:13">
      <c r="C29" s="27">
        <v>26</v>
      </c>
      <c r="D29" s="206">
        <f t="array" ref="D29">-IFERROR(_xlfn.IFS(D$2="DB",DB!$AJ42,D$2="BT",BT!$AJ42,D$2="DBO",DBO!$AJ42,D$2="BTO",BTO!$AJ42,D$2="BOT/BOO",BOT・BOO!$AJ42),0)</f>
        <v>0</v>
      </c>
      <c r="E29" s="206">
        <f t="array" ref="E29">-IFERROR(_xlfn.IFS(D$2="DB",DB!$BC42,D$2="BT",BT!$BC42,D$2="DBO",DBO!$BC42,D$2="BTO",BTO!$BC42,D$2="BOT/BOO",BOT・BOO!$BC42),0)</f>
        <v>0</v>
      </c>
      <c r="F29" s="206">
        <f t="array" ref="F29">-IFERROR(_xlfn.IFS(F$2="DB",DB!$AJ42,F$2="BT",BT!$AJ42,F$2="DBO",DBO!$AJ42,F$2="BTO",BTO!$AJ42,F$2="BOT/BOO",BOT・BOO!$AJ42),0)</f>
        <v>0</v>
      </c>
      <c r="G29" s="206">
        <f t="array" ref="G29">-IFERROR(_xlfn.IFS(F$2="DB",DB!$BC42,F$2="BT",BT!$BC42,F$2="DBO",DBO!$BC42,F$2="BTO",BTO!$BC42,F$2="BOT/BOO",BOT・BOO!$BC42),0)</f>
        <v>0</v>
      </c>
      <c r="H29" s="206">
        <f t="array" ref="H29">-IFERROR(_xlfn.IFS(H$2="DB",DB!$AJ42,H$2="BT",BT!$AJ42,H$2="DBO",DBO!$AJ42,H$2="BTO",BTO!$AJ42,H$2="BOT/BOO",BOT・BOO!$AJ42),0)</f>
        <v>0</v>
      </c>
      <c r="I29" s="206">
        <f t="array" ref="I29">-IFERROR(_xlfn.IFS(H$2="DB",DB!$BC42,H$2="BT",BT!$BC42,H$2="DBO",DBO!$BC42,H$2="BTO",BTO!$BC42,H$2="BOT/BOO",BOT・BOO!$BC42),0)</f>
        <v>0</v>
      </c>
      <c r="J29" s="206">
        <f t="array" ref="J29">-IFERROR(_xlfn.IFS(J$2="DB",DB!$AJ42,J$2="BT",BT!$AJ42,J$2="DBO",DBO!$AJ42,J$2="BTO",BTO!$AJ42,J$2="BOT/BOO",BOT・BOO!$AJ42),0)</f>
        <v>0</v>
      </c>
      <c r="K29" s="206">
        <f t="array" ref="K29">-IFERROR(_xlfn.IFS(J$2="DB",DB!$BC42,J$2="BT",BT!$BC42,J$2="DBO",DBO!$BC42,J$2="BTO",BTO!$BC42,J$2="BOT/BOO",BOT・BOO!$BC42),0)</f>
        <v>0</v>
      </c>
      <c r="L29" s="206">
        <f t="array" ref="L29">-IFERROR(_xlfn.IFS(L$2="DB",DB!$AJ42,L$2="BT",BT!$AJ42,L$2="DBO",DBO!$AJ42,L$2="BTO",BTO!$AJ42,L$2="BOT/BOO",BOT・BOO!$AJ42),0)</f>
        <v>0</v>
      </c>
      <c r="M29" s="206">
        <f t="array" ref="M29">-IFERROR(_xlfn.IFS(L$2="DB",DB!$BC42,L$2="BT",BT!$BC42,L$2="DBO",DBO!$BC42,L$2="BTO",BTO!$BC42,L$2="BOT/BOO",BOT・BOO!$BC42),0)</f>
        <v>0</v>
      </c>
    </row>
    <row r="30" spans="3:13">
      <c r="C30" s="27">
        <v>27</v>
      </c>
      <c r="D30" s="206">
        <f t="array" ref="D30">-IFERROR(_xlfn.IFS(D$2="DB",DB!$AJ43,D$2="BT",BT!$AJ43,D$2="DBO",DBO!$AJ43,D$2="BTO",BTO!$AJ43,D$2="BOT/BOO",BOT・BOO!$AJ43),0)</f>
        <v>0</v>
      </c>
      <c r="E30" s="206">
        <f t="array" ref="E30">-IFERROR(_xlfn.IFS(D$2="DB",DB!$BC43,D$2="BT",BT!$BC43,D$2="DBO",DBO!$BC43,D$2="BTO",BTO!$BC43,D$2="BOT/BOO",BOT・BOO!$BC43),0)</f>
        <v>0</v>
      </c>
      <c r="F30" s="206">
        <f t="array" ref="F30">-IFERROR(_xlfn.IFS(F$2="DB",DB!$AJ43,F$2="BT",BT!$AJ43,F$2="DBO",DBO!$AJ43,F$2="BTO",BTO!$AJ43,F$2="BOT/BOO",BOT・BOO!$AJ43),0)</f>
        <v>0</v>
      </c>
      <c r="G30" s="206">
        <f t="array" ref="G30">-IFERROR(_xlfn.IFS(F$2="DB",DB!$BC43,F$2="BT",BT!$BC43,F$2="DBO",DBO!$BC43,F$2="BTO",BTO!$BC43,F$2="BOT/BOO",BOT・BOO!$BC43),0)</f>
        <v>0</v>
      </c>
      <c r="H30" s="206">
        <f t="array" ref="H30">-IFERROR(_xlfn.IFS(H$2="DB",DB!$AJ43,H$2="BT",BT!$AJ43,H$2="DBO",DBO!$AJ43,H$2="BTO",BTO!$AJ43,H$2="BOT/BOO",BOT・BOO!$AJ43),0)</f>
        <v>0</v>
      </c>
      <c r="I30" s="206">
        <f t="array" ref="I30">-IFERROR(_xlfn.IFS(H$2="DB",DB!$BC43,H$2="BT",BT!$BC43,H$2="DBO",DBO!$BC43,H$2="BTO",BTO!$BC43,H$2="BOT/BOO",BOT・BOO!$BC43),0)</f>
        <v>0</v>
      </c>
      <c r="J30" s="206">
        <f t="array" ref="J30">-IFERROR(_xlfn.IFS(J$2="DB",DB!$AJ43,J$2="BT",BT!$AJ43,J$2="DBO",DBO!$AJ43,J$2="BTO",BTO!$AJ43,J$2="BOT/BOO",BOT・BOO!$AJ43),0)</f>
        <v>0</v>
      </c>
      <c r="K30" s="206">
        <f t="array" ref="K30">-IFERROR(_xlfn.IFS(J$2="DB",DB!$BC43,J$2="BT",BT!$BC43,J$2="DBO",DBO!$BC43,J$2="BTO",BTO!$BC43,J$2="BOT/BOO",BOT・BOO!$BC43),0)</f>
        <v>0</v>
      </c>
      <c r="L30" s="206">
        <f t="array" ref="L30">-IFERROR(_xlfn.IFS(L$2="DB",DB!$AJ43,L$2="BT",BT!$AJ43,L$2="DBO",DBO!$AJ43,L$2="BTO",BTO!$AJ43,L$2="BOT/BOO",BOT・BOO!$AJ43),0)</f>
        <v>0</v>
      </c>
      <c r="M30" s="206">
        <f t="array" ref="M30">-IFERROR(_xlfn.IFS(L$2="DB",DB!$BC43,L$2="BT",BT!$BC43,L$2="DBO",DBO!$BC43,L$2="BTO",BTO!$BC43,L$2="BOT/BOO",BOT・BOO!$BC43),0)</f>
        <v>0</v>
      </c>
    </row>
    <row r="31" spans="3:13">
      <c r="C31" s="27">
        <v>28</v>
      </c>
      <c r="D31" s="206">
        <f t="array" ref="D31">-IFERROR(_xlfn.IFS(D$2="DB",DB!$AJ44,D$2="BT",BT!$AJ44,D$2="DBO",DBO!$AJ44,D$2="BTO",BTO!$AJ44,D$2="BOT/BOO",BOT・BOO!$AJ44),0)</f>
        <v>0</v>
      </c>
      <c r="E31" s="206">
        <f t="array" ref="E31">-IFERROR(_xlfn.IFS(D$2="DB",DB!$BC44,D$2="BT",BT!$BC44,D$2="DBO",DBO!$BC44,D$2="BTO",BTO!$BC44,D$2="BOT/BOO",BOT・BOO!$BC44),0)</f>
        <v>0</v>
      </c>
      <c r="F31" s="206">
        <f t="array" ref="F31">-IFERROR(_xlfn.IFS(F$2="DB",DB!$AJ44,F$2="BT",BT!$AJ44,F$2="DBO",DBO!$AJ44,F$2="BTO",BTO!$AJ44,F$2="BOT/BOO",BOT・BOO!$AJ44),0)</f>
        <v>0</v>
      </c>
      <c r="G31" s="206">
        <f t="array" ref="G31">-IFERROR(_xlfn.IFS(F$2="DB",DB!$BC44,F$2="BT",BT!$BC44,F$2="DBO",DBO!$BC44,F$2="BTO",BTO!$BC44,F$2="BOT/BOO",BOT・BOO!$BC44),0)</f>
        <v>0</v>
      </c>
      <c r="H31" s="206">
        <f t="array" ref="H31">-IFERROR(_xlfn.IFS(H$2="DB",DB!$AJ44,H$2="BT",BT!$AJ44,H$2="DBO",DBO!$AJ44,H$2="BTO",BTO!$AJ44,H$2="BOT/BOO",BOT・BOO!$AJ44),0)</f>
        <v>0</v>
      </c>
      <c r="I31" s="206">
        <f t="array" ref="I31">-IFERROR(_xlfn.IFS(H$2="DB",DB!$BC44,H$2="BT",BT!$BC44,H$2="DBO",DBO!$BC44,H$2="BTO",BTO!$BC44,H$2="BOT/BOO",BOT・BOO!$BC44),0)</f>
        <v>0</v>
      </c>
      <c r="J31" s="206">
        <f t="array" ref="J31">-IFERROR(_xlfn.IFS(J$2="DB",DB!$AJ44,J$2="BT",BT!$AJ44,J$2="DBO",DBO!$AJ44,J$2="BTO",BTO!$AJ44,J$2="BOT/BOO",BOT・BOO!$AJ44),0)</f>
        <v>0</v>
      </c>
      <c r="K31" s="206">
        <f t="array" ref="K31">-IFERROR(_xlfn.IFS(J$2="DB",DB!$BC44,J$2="BT",BT!$BC44,J$2="DBO",DBO!$BC44,J$2="BTO",BTO!$BC44,J$2="BOT/BOO",BOT・BOO!$BC44),0)</f>
        <v>0</v>
      </c>
      <c r="L31" s="206">
        <f t="array" ref="L31">-IFERROR(_xlfn.IFS(L$2="DB",DB!$AJ44,L$2="BT",BT!$AJ44,L$2="DBO",DBO!$AJ44,L$2="BTO",BTO!$AJ44,L$2="BOT/BOO",BOT・BOO!$AJ44),0)</f>
        <v>0</v>
      </c>
      <c r="M31" s="206">
        <f t="array" ref="M31">-IFERROR(_xlfn.IFS(L$2="DB",DB!$BC44,L$2="BT",BT!$BC44,L$2="DBO",DBO!$BC44,L$2="BTO",BTO!$BC44,L$2="BOT/BOO",BOT・BOO!$BC44),0)</f>
        <v>0</v>
      </c>
    </row>
    <row r="32" spans="3:13">
      <c r="C32" s="27">
        <v>29</v>
      </c>
      <c r="D32" s="206">
        <f t="array" ref="D32">-IFERROR(_xlfn.IFS(D$2="DB",DB!$AJ45,D$2="BT",BT!$AJ45,D$2="DBO",DBO!$AJ45,D$2="BTO",BTO!$AJ45,D$2="BOT/BOO",BOT・BOO!$AJ45),0)</f>
        <v>0</v>
      </c>
      <c r="E32" s="206">
        <f t="array" ref="E32">-IFERROR(_xlfn.IFS(D$2="DB",DB!$BC45,D$2="BT",BT!$BC45,D$2="DBO",DBO!$BC45,D$2="BTO",BTO!$BC45,D$2="BOT/BOO",BOT・BOO!$BC45),0)</f>
        <v>0</v>
      </c>
      <c r="F32" s="206">
        <f t="array" ref="F32">-IFERROR(_xlfn.IFS(F$2="DB",DB!$AJ45,F$2="BT",BT!$AJ45,F$2="DBO",DBO!$AJ45,F$2="BTO",BTO!$AJ45,F$2="BOT/BOO",BOT・BOO!$AJ45),0)</f>
        <v>0</v>
      </c>
      <c r="G32" s="206">
        <f t="array" ref="G32">-IFERROR(_xlfn.IFS(F$2="DB",DB!$BC45,F$2="BT",BT!$BC45,F$2="DBO",DBO!$BC45,F$2="BTO",BTO!$BC45,F$2="BOT/BOO",BOT・BOO!$BC45),0)</f>
        <v>0</v>
      </c>
      <c r="H32" s="206">
        <f t="array" ref="H32">-IFERROR(_xlfn.IFS(H$2="DB",DB!$AJ45,H$2="BT",BT!$AJ45,H$2="DBO",DBO!$AJ45,H$2="BTO",BTO!$AJ45,H$2="BOT/BOO",BOT・BOO!$AJ45),0)</f>
        <v>0</v>
      </c>
      <c r="I32" s="206">
        <f t="array" ref="I32">-IFERROR(_xlfn.IFS(H$2="DB",DB!$BC45,H$2="BT",BT!$BC45,H$2="DBO",DBO!$BC45,H$2="BTO",BTO!$BC45,H$2="BOT/BOO",BOT・BOO!$BC45),0)</f>
        <v>0</v>
      </c>
      <c r="J32" s="206">
        <f t="array" ref="J32">-IFERROR(_xlfn.IFS(J$2="DB",DB!$AJ45,J$2="BT",BT!$AJ45,J$2="DBO",DBO!$AJ45,J$2="BTO",BTO!$AJ45,J$2="BOT/BOO",BOT・BOO!$AJ45),0)</f>
        <v>0</v>
      </c>
      <c r="K32" s="206">
        <f t="array" ref="K32">-IFERROR(_xlfn.IFS(J$2="DB",DB!$BC45,J$2="BT",BT!$BC45,J$2="DBO",DBO!$BC45,J$2="BTO",BTO!$BC45,J$2="BOT/BOO",BOT・BOO!$BC45),0)</f>
        <v>0</v>
      </c>
      <c r="L32" s="206">
        <f t="array" ref="L32">-IFERROR(_xlfn.IFS(L$2="DB",DB!$AJ45,L$2="BT",BT!$AJ45,L$2="DBO",DBO!$AJ45,L$2="BTO",BTO!$AJ45,L$2="BOT/BOO",BOT・BOO!$AJ45),0)</f>
        <v>0</v>
      </c>
      <c r="M32" s="206">
        <f t="array" ref="M32">-IFERROR(_xlfn.IFS(L$2="DB",DB!$BC45,L$2="BT",BT!$BC45,L$2="DBO",DBO!$BC45,L$2="BTO",BTO!$BC45,L$2="BOT/BOO",BOT・BOO!$BC45),0)</f>
        <v>0</v>
      </c>
    </row>
    <row r="33" spans="3:13">
      <c r="C33" s="27">
        <v>30</v>
      </c>
      <c r="D33" s="206">
        <f t="array" ref="D33">-IFERROR(_xlfn.IFS(D$2="DB",DB!$AJ46,D$2="BT",BT!$AJ46,D$2="DBO",DBO!$AJ46,D$2="BTO",BTO!$AJ46,D$2="BOT/BOO",BOT・BOO!$AJ46),0)</f>
        <v>0</v>
      </c>
      <c r="E33" s="206">
        <f t="array" ref="E33">-IFERROR(_xlfn.IFS(D$2="DB",DB!$BC46,D$2="BT",BT!$BC46,D$2="DBO",DBO!$BC46,D$2="BTO",BTO!$BC46,D$2="BOT/BOO",BOT・BOO!$BC46),0)</f>
        <v>0</v>
      </c>
      <c r="F33" s="206">
        <f t="array" ref="F33">-IFERROR(_xlfn.IFS(F$2="DB",DB!$AJ46,F$2="BT",BT!$AJ46,F$2="DBO",DBO!$AJ46,F$2="BTO",BTO!$AJ46,F$2="BOT/BOO",BOT・BOO!$AJ46),0)</f>
        <v>0</v>
      </c>
      <c r="G33" s="206">
        <f t="array" ref="G33">-IFERROR(_xlfn.IFS(F$2="DB",DB!$BC46,F$2="BT",BT!$BC46,F$2="DBO",DBO!$BC46,F$2="BTO",BTO!$BC46,F$2="BOT/BOO",BOT・BOO!$BC46),0)</f>
        <v>0</v>
      </c>
      <c r="H33" s="206">
        <f t="array" ref="H33">-IFERROR(_xlfn.IFS(H$2="DB",DB!$AJ46,H$2="BT",BT!$AJ46,H$2="DBO",DBO!$AJ46,H$2="BTO",BTO!$AJ46,H$2="BOT/BOO",BOT・BOO!$AJ46),0)</f>
        <v>0</v>
      </c>
      <c r="I33" s="206">
        <f t="array" ref="I33">-IFERROR(_xlfn.IFS(H$2="DB",DB!$BC46,H$2="BT",BT!$BC46,H$2="DBO",DBO!$BC46,H$2="BTO",BTO!$BC46,H$2="BOT/BOO",BOT・BOO!$BC46),0)</f>
        <v>0</v>
      </c>
      <c r="J33" s="206">
        <f t="array" ref="J33">-IFERROR(_xlfn.IFS(J$2="DB",DB!$AJ46,J$2="BT",BT!$AJ46,J$2="DBO",DBO!$AJ46,J$2="BTO",BTO!$AJ46,J$2="BOT/BOO",BOT・BOO!$AJ46),0)</f>
        <v>0</v>
      </c>
      <c r="K33" s="206">
        <f t="array" ref="K33">-IFERROR(_xlfn.IFS(J$2="DB",DB!$BC46,J$2="BT",BT!$BC46,J$2="DBO",DBO!$BC46,J$2="BTO",BTO!$BC46,J$2="BOT/BOO",BOT・BOO!$BC46),0)</f>
        <v>0</v>
      </c>
      <c r="L33" s="206">
        <f t="array" ref="L33">-IFERROR(_xlfn.IFS(L$2="DB",DB!$AJ46,L$2="BT",BT!$AJ46,L$2="DBO",DBO!$AJ46,L$2="BTO",BTO!$AJ46,L$2="BOT/BOO",BOT・BOO!$AJ46),0)</f>
        <v>0</v>
      </c>
      <c r="M33" s="206">
        <f t="array" ref="M33">-IFERROR(_xlfn.IFS(L$2="DB",DB!$BC46,L$2="BT",BT!$BC46,L$2="DBO",DBO!$BC46,L$2="BTO",BTO!$BC46,L$2="BOT/BOO",BOT・BOO!$BC46),0)</f>
        <v>0</v>
      </c>
    </row>
    <row r="34" spans="3:13">
      <c r="D34" s="206"/>
      <c r="E34" s="206"/>
      <c r="F34" s="206"/>
      <c r="G34" s="206"/>
      <c r="H34" s="206"/>
      <c r="I34" s="206"/>
      <c r="J34" s="206"/>
      <c r="K34" s="206"/>
      <c r="L34" s="206"/>
      <c r="M34" s="206"/>
    </row>
  </sheetData>
  <phoneticPr fontId="2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Disclaimer</vt:lpstr>
      <vt:lpstr>事業費用概算</vt:lpstr>
      <vt:lpstr>DB</vt:lpstr>
      <vt:lpstr>BT</vt:lpstr>
      <vt:lpstr>DBO</vt:lpstr>
      <vt:lpstr>BTO</vt:lpstr>
      <vt:lpstr>BOT・BOO</vt:lpstr>
      <vt:lpstr>説明用アウトプットシート</vt:lpstr>
      <vt:lpstr>【編集不可】リスト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Yoshihiro Ashihara</cp:lastModifiedBy>
  <dcterms:created xsi:type="dcterms:W3CDTF">2024-03-12T07:05:12Z</dcterms:created>
  <dcterms:modified xsi:type="dcterms:W3CDTF">2024-06-04T02:06:28Z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2024-03-12T07:05:52Z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d9b3a079-126a-4b6f-90c9-06c2d6d262c4</vt:lpwstr>
  </property>
  <property fmtid="{D5CDD505-2E9C-101B-9397-08002B2CF9AE}" pid="8" name="MSIP_Label_ea60d57e-af5b-4752-ac57-3e4f28ca11dc_ContentBits">
    <vt:lpwstr>0</vt:lpwstr>
  </property>
</Properties>
</file>