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filterPrivacy="1" defaultThemeVersion="166925"/>
  <xr:revisionPtr revIDLastSave="0" documentId="13_ncr:1_{EDCA8A6C-87C0-C141-BC4F-D6EE3CD4E73F}" xr6:coauthVersionLast="47" xr6:coauthVersionMax="47" xr10:uidLastSave="{00000000-0000-0000-0000-000000000000}"/>
  <bookViews>
    <workbookView xWindow="0" yWindow="500" windowWidth="38400" windowHeight="21100" activeTab="5" xr2:uid="{152C4009-0545-4D90-9F8B-2E6B4A6FA141}"/>
  </bookViews>
  <sheets>
    <sheet name="Disclaimer" sheetId="15" r:id="rId1"/>
    <sheet name="事業費用概算" sheetId="14" r:id="rId2"/>
    <sheet name="DB" sheetId="12" r:id="rId3"/>
    <sheet name="BT" sheetId="11" r:id="rId4"/>
    <sheet name="DBO" sheetId="13" r:id="rId5"/>
    <sheet name="BTO" sheetId="10" r:id="rId6"/>
    <sheet name="BOT・BOO" sheetId="9" r:id="rId7"/>
    <sheet name="説明用アウトプットシート" sheetId="4" r:id="rId8"/>
    <sheet name="【編集不可】リスト" sheetId="2" r:id="rId9"/>
  </sheets>
  <definedNames>
    <definedName name="_xlnm.Print_Area" localSheetId="6">BOT・BOO!$1:$112</definedName>
    <definedName name="_xlnm.Print_Area" localSheetId="3">BT!$1:$112</definedName>
    <definedName name="_xlnm.Print_Area" localSheetId="5">BTO!$1:$127</definedName>
    <definedName name="_xlnm.Print_Area" localSheetId="2">DB!$1:$112</definedName>
    <definedName name="_xlnm.Print_Area" localSheetId="4">DBO!$1:$112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56" i="12" l="1"/>
  <c r="AH55" i="12"/>
  <c r="AH54" i="12"/>
  <c r="AH53" i="12"/>
  <c r="AH52" i="12"/>
  <c r="AH51" i="12"/>
  <c r="AH50" i="12"/>
  <c r="AH49" i="12"/>
  <c r="AH48" i="12"/>
  <c r="AH47" i="12"/>
  <c r="AH46" i="12"/>
  <c r="AH45" i="12"/>
  <c r="AH44" i="12"/>
  <c r="AH43" i="12"/>
  <c r="AH42" i="12"/>
  <c r="AH41" i="12"/>
  <c r="AH40" i="12"/>
  <c r="AH39" i="12"/>
  <c r="AH38" i="12"/>
  <c r="AH37" i="12"/>
  <c r="AH36" i="12"/>
  <c r="AH35" i="12"/>
  <c r="AH34" i="12"/>
  <c r="AH33" i="12"/>
  <c r="AH32" i="12"/>
  <c r="AH31" i="12"/>
  <c r="AH30" i="12"/>
  <c r="AH29" i="12"/>
  <c r="AH28" i="12"/>
  <c r="AH27" i="12"/>
  <c r="AH26" i="12"/>
  <c r="AH25" i="12"/>
  <c r="AH24" i="12"/>
  <c r="AH23" i="12"/>
  <c r="AH22" i="12"/>
  <c r="AH21" i="12"/>
  <c r="AH20" i="12"/>
  <c r="AH19" i="12"/>
  <c r="AH18" i="12"/>
  <c r="AH17" i="12"/>
  <c r="AH17" i="11"/>
  <c r="AH18" i="11"/>
  <c r="AH19" i="11"/>
  <c r="AH20" i="11"/>
  <c r="AH21" i="11"/>
  <c r="AH22" i="11"/>
  <c r="AH23" i="11"/>
  <c r="AH24" i="11"/>
  <c r="AH25" i="11"/>
  <c r="AH26" i="11"/>
  <c r="AH27" i="11"/>
  <c r="AH28" i="11"/>
  <c r="AH29" i="11"/>
  <c r="AH30" i="11"/>
  <c r="AH31" i="11"/>
  <c r="AH32" i="11"/>
  <c r="AH33" i="11"/>
  <c r="AH34" i="11"/>
  <c r="AH35" i="11"/>
  <c r="AH36" i="11"/>
  <c r="AH37" i="11"/>
  <c r="AH38" i="11"/>
  <c r="AH39" i="11"/>
  <c r="AH40" i="11"/>
  <c r="AH41" i="11"/>
  <c r="AH42" i="11"/>
  <c r="AH43" i="11"/>
  <c r="AH44" i="11"/>
  <c r="AH45" i="11"/>
  <c r="AH46" i="11"/>
  <c r="AH47" i="11"/>
  <c r="AH48" i="11"/>
  <c r="AH49" i="11"/>
  <c r="AH50" i="11"/>
  <c r="AH51" i="11"/>
  <c r="AH52" i="11"/>
  <c r="AH53" i="11"/>
  <c r="AH54" i="11"/>
  <c r="AH55" i="11"/>
  <c r="AH56" i="11"/>
  <c r="AH56" i="13"/>
  <c r="AH55" i="13"/>
  <c r="AH54" i="13"/>
  <c r="AH53" i="13"/>
  <c r="AH52" i="13"/>
  <c r="AH51" i="13"/>
  <c r="AH50" i="13"/>
  <c r="AH49" i="13"/>
  <c r="AH48" i="13"/>
  <c r="AH47" i="13"/>
  <c r="AH46" i="13"/>
  <c r="AH45" i="13"/>
  <c r="AH44" i="13"/>
  <c r="AH43" i="13"/>
  <c r="AH42" i="13"/>
  <c r="AH41" i="13"/>
  <c r="AH40" i="13"/>
  <c r="AH39" i="13"/>
  <c r="AH38" i="13"/>
  <c r="AH37" i="13"/>
  <c r="AH36" i="13"/>
  <c r="AH35" i="13"/>
  <c r="AH34" i="13"/>
  <c r="AH33" i="13"/>
  <c r="AH32" i="13"/>
  <c r="AH31" i="13"/>
  <c r="AH30" i="13"/>
  <c r="AH29" i="13"/>
  <c r="AH28" i="13"/>
  <c r="AH27" i="13"/>
  <c r="AH26" i="13"/>
  <c r="AH25" i="13"/>
  <c r="AH24" i="13"/>
  <c r="AH23" i="13"/>
  <c r="AH22" i="13"/>
  <c r="AH21" i="13"/>
  <c r="AH20" i="13"/>
  <c r="AH19" i="13"/>
  <c r="AH18" i="13"/>
  <c r="AH17" i="13"/>
  <c r="AH56" i="9"/>
  <c r="AH55" i="9"/>
  <c r="AH54" i="9"/>
  <c r="AH53" i="9"/>
  <c r="AH52" i="9"/>
  <c r="AH51" i="9"/>
  <c r="AH50" i="9"/>
  <c r="AH49" i="9"/>
  <c r="AH48" i="9"/>
  <c r="AH47" i="9"/>
  <c r="AH46" i="9"/>
  <c r="AH45" i="9"/>
  <c r="AH44" i="9"/>
  <c r="AH43" i="9"/>
  <c r="AH42" i="9"/>
  <c r="AH41" i="9"/>
  <c r="AH40" i="9"/>
  <c r="AH39" i="9"/>
  <c r="AH38" i="9"/>
  <c r="AH37" i="9"/>
  <c r="AH36" i="9"/>
  <c r="AH35" i="9"/>
  <c r="AH34" i="9"/>
  <c r="AH33" i="9"/>
  <c r="AH32" i="9"/>
  <c r="AH31" i="9"/>
  <c r="AH30" i="9"/>
  <c r="AH29" i="9"/>
  <c r="AH28" i="9"/>
  <c r="AH27" i="9"/>
  <c r="AH26" i="9"/>
  <c r="AH25" i="9"/>
  <c r="AH24" i="9"/>
  <c r="AH23" i="9"/>
  <c r="AH22" i="9"/>
  <c r="AH21" i="9"/>
  <c r="AH20" i="9"/>
  <c r="AH19" i="9"/>
  <c r="AH18" i="9"/>
  <c r="AH17" i="9"/>
  <c r="BS56" i="12"/>
  <c r="BS55" i="12"/>
  <c r="BS54" i="12"/>
  <c r="BS53" i="12"/>
  <c r="BS52" i="12"/>
  <c r="BS51" i="12"/>
  <c r="BS50" i="12"/>
  <c r="BS49" i="12"/>
  <c r="BS48" i="12"/>
  <c r="BS47" i="12"/>
  <c r="BS46" i="12"/>
  <c r="BS45" i="12"/>
  <c r="BS44" i="12"/>
  <c r="BS43" i="12"/>
  <c r="BS42" i="12"/>
  <c r="BS41" i="12"/>
  <c r="BS40" i="12"/>
  <c r="BS39" i="12"/>
  <c r="BS38" i="12"/>
  <c r="BS37" i="12"/>
  <c r="BS36" i="12"/>
  <c r="BS35" i="12"/>
  <c r="BS34" i="12"/>
  <c r="BS33" i="12"/>
  <c r="BS32" i="12"/>
  <c r="BS31" i="12"/>
  <c r="BS30" i="12"/>
  <c r="BS29" i="12"/>
  <c r="BS28" i="12"/>
  <c r="BS27" i="12"/>
  <c r="BS26" i="12"/>
  <c r="BS25" i="12"/>
  <c r="BS24" i="12"/>
  <c r="BS23" i="12"/>
  <c r="BS22" i="12"/>
  <c r="BS21" i="12"/>
  <c r="BS20" i="12"/>
  <c r="BS19" i="12"/>
  <c r="BS18" i="12"/>
  <c r="BS17" i="12"/>
  <c r="BS56" i="11"/>
  <c r="BS55" i="11"/>
  <c r="BS54" i="11"/>
  <c r="BS53" i="11"/>
  <c r="BS52" i="11"/>
  <c r="BS51" i="11"/>
  <c r="BS50" i="11"/>
  <c r="BS49" i="11"/>
  <c r="BS48" i="11"/>
  <c r="BS47" i="11"/>
  <c r="BS46" i="11"/>
  <c r="BS45" i="11"/>
  <c r="BS44" i="11"/>
  <c r="BS43" i="11"/>
  <c r="BS42" i="11"/>
  <c r="BS41" i="11"/>
  <c r="BS40" i="11"/>
  <c r="BS39" i="11"/>
  <c r="BS38" i="11"/>
  <c r="BS37" i="11"/>
  <c r="BS36" i="11"/>
  <c r="BS35" i="11"/>
  <c r="BS34" i="11"/>
  <c r="BS33" i="11"/>
  <c r="BS32" i="11"/>
  <c r="BS31" i="11"/>
  <c r="BS30" i="11"/>
  <c r="BS29" i="11"/>
  <c r="BS28" i="11"/>
  <c r="BS27" i="11"/>
  <c r="BS26" i="11"/>
  <c r="BS25" i="11"/>
  <c r="BS24" i="11"/>
  <c r="BS23" i="11"/>
  <c r="BS22" i="11"/>
  <c r="BS21" i="11"/>
  <c r="BS20" i="11"/>
  <c r="BS19" i="11"/>
  <c r="BS18" i="11"/>
  <c r="BS17" i="11"/>
  <c r="BS56" i="13"/>
  <c r="BS55" i="13"/>
  <c r="BS54" i="13"/>
  <c r="BS53" i="13"/>
  <c r="BS52" i="13"/>
  <c r="BS51" i="13"/>
  <c r="BS50" i="13"/>
  <c r="BS49" i="13"/>
  <c r="BS48" i="13"/>
  <c r="BS47" i="13"/>
  <c r="BS46" i="13"/>
  <c r="BS45" i="13"/>
  <c r="BS44" i="13"/>
  <c r="BS43" i="13"/>
  <c r="BS42" i="13"/>
  <c r="BS41" i="13"/>
  <c r="BS40" i="13"/>
  <c r="BS39" i="13"/>
  <c r="BS38" i="13"/>
  <c r="BS37" i="13"/>
  <c r="BS36" i="13"/>
  <c r="BS35" i="13"/>
  <c r="BS34" i="13"/>
  <c r="BS33" i="13"/>
  <c r="BS32" i="13"/>
  <c r="BS31" i="13"/>
  <c r="BS30" i="13"/>
  <c r="BS29" i="13"/>
  <c r="BS28" i="13"/>
  <c r="BS27" i="13"/>
  <c r="BS26" i="13"/>
  <c r="BS25" i="13"/>
  <c r="BS24" i="13"/>
  <c r="BS23" i="13"/>
  <c r="BS22" i="13"/>
  <c r="BS21" i="13"/>
  <c r="BS20" i="13"/>
  <c r="BS19" i="13"/>
  <c r="BS18" i="13"/>
  <c r="BS17" i="13"/>
  <c r="BS56" i="9" l="1"/>
  <c r="BS55" i="9"/>
  <c r="BS54" i="9"/>
  <c r="BS53" i="9"/>
  <c r="BS52" i="9"/>
  <c r="BS51" i="9"/>
  <c r="BS50" i="9"/>
  <c r="BS49" i="9"/>
  <c r="BS48" i="9"/>
  <c r="BS47" i="9"/>
  <c r="BS46" i="9"/>
  <c r="BS45" i="9"/>
  <c r="BS44" i="9"/>
  <c r="BS43" i="9"/>
  <c r="BS42" i="9"/>
  <c r="BS41" i="9"/>
  <c r="BS40" i="9"/>
  <c r="BS39" i="9"/>
  <c r="BS38" i="9"/>
  <c r="BS37" i="9"/>
  <c r="BS36" i="9"/>
  <c r="BS35" i="9"/>
  <c r="BS34" i="9"/>
  <c r="BS33" i="9"/>
  <c r="BS32" i="9"/>
  <c r="BS31" i="9"/>
  <c r="BS30" i="9"/>
  <c r="BS29" i="9"/>
  <c r="BS28" i="9"/>
  <c r="BS27" i="9"/>
  <c r="BS26" i="9"/>
  <c r="BS25" i="9"/>
  <c r="BS24" i="9"/>
  <c r="BS23" i="9"/>
  <c r="BS22" i="9"/>
  <c r="BS21" i="9"/>
  <c r="BS20" i="9"/>
  <c r="BS19" i="9"/>
  <c r="BS18" i="9"/>
  <c r="BS17" i="9"/>
  <c r="BS56" i="10"/>
  <c r="BS55" i="10"/>
  <c r="BS54" i="10"/>
  <c r="BS53" i="10"/>
  <c r="BS52" i="10"/>
  <c r="BS51" i="10"/>
  <c r="BS50" i="10"/>
  <c r="BS49" i="10"/>
  <c r="BS48" i="10"/>
  <c r="BS47" i="10"/>
  <c r="BS46" i="10"/>
  <c r="BS45" i="10"/>
  <c r="BS44" i="10"/>
  <c r="BS43" i="10"/>
  <c r="BS42" i="10"/>
  <c r="BS41" i="10"/>
  <c r="BS40" i="10"/>
  <c r="BS39" i="10"/>
  <c r="BS38" i="10"/>
  <c r="BS37" i="10"/>
  <c r="BS36" i="10"/>
  <c r="BS35" i="10"/>
  <c r="BS34" i="10"/>
  <c r="BS33" i="10"/>
  <c r="BS32" i="10"/>
  <c r="BS31" i="10"/>
  <c r="BS30" i="10"/>
  <c r="BS29" i="10"/>
  <c r="BS28" i="10"/>
  <c r="BS27" i="10"/>
  <c r="BS26" i="10"/>
  <c r="BS25" i="10"/>
  <c r="BS24" i="10"/>
  <c r="BS23" i="10"/>
  <c r="BS22" i="10"/>
  <c r="BS21" i="10"/>
  <c r="BS20" i="10"/>
  <c r="BS19" i="10"/>
  <c r="BS18" i="10"/>
  <c r="BS17" i="10"/>
  <c r="P48" i="10"/>
  <c r="F69" i="9"/>
  <c r="F69" i="10"/>
  <c r="AZ18" i="12"/>
  <c r="AZ17" i="12"/>
  <c r="BQ56" i="12"/>
  <c r="BQ55" i="12"/>
  <c r="BQ54" i="12"/>
  <c r="BQ53" i="12"/>
  <c r="BQ52" i="12"/>
  <c r="BQ51" i="12"/>
  <c r="BQ50" i="12"/>
  <c r="BQ49" i="12"/>
  <c r="BQ48" i="12"/>
  <c r="BQ47" i="12"/>
  <c r="BQ46" i="12"/>
  <c r="BQ45" i="12"/>
  <c r="BQ44" i="12"/>
  <c r="BQ43" i="12"/>
  <c r="BQ42" i="12"/>
  <c r="BQ41" i="12"/>
  <c r="BQ40" i="12"/>
  <c r="BQ39" i="12"/>
  <c r="BQ38" i="12"/>
  <c r="BQ37" i="12"/>
  <c r="BQ36" i="12"/>
  <c r="BQ35" i="12"/>
  <c r="BQ34" i="12"/>
  <c r="BQ33" i="12"/>
  <c r="BQ32" i="12"/>
  <c r="BQ31" i="12"/>
  <c r="BQ30" i="12"/>
  <c r="BQ29" i="12"/>
  <c r="BQ28" i="12"/>
  <c r="BQ27" i="12"/>
  <c r="BQ26" i="12"/>
  <c r="BQ25" i="12"/>
  <c r="BQ24" i="12"/>
  <c r="BQ23" i="12"/>
  <c r="BQ22" i="12"/>
  <c r="BQ21" i="12"/>
  <c r="BQ20" i="12"/>
  <c r="BQ19" i="12"/>
  <c r="BQ18" i="12"/>
  <c r="BQ17" i="12"/>
  <c r="BQ56" i="11"/>
  <c r="BQ55" i="11"/>
  <c r="BQ54" i="11"/>
  <c r="BQ53" i="11"/>
  <c r="BQ52" i="11"/>
  <c r="BQ51" i="11"/>
  <c r="BQ50" i="11"/>
  <c r="BQ49" i="11"/>
  <c r="BQ48" i="11"/>
  <c r="BQ47" i="11"/>
  <c r="BQ46" i="11"/>
  <c r="BQ45" i="11"/>
  <c r="BQ44" i="11"/>
  <c r="BQ43" i="11"/>
  <c r="BQ42" i="11"/>
  <c r="BQ41" i="11"/>
  <c r="BQ40" i="11"/>
  <c r="BQ39" i="11"/>
  <c r="BQ38" i="11"/>
  <c r="BQ37" i="11"/>
  <c r="BQ36" i="11"/>
  <c r="BQ35" i="11"/>
  <c r="BQ34" i="11"/>
  <c r="BQ33" i="11"/>
  <c r="BQ32" i="11"/>
  <c r="BQ31" i="11"/>
  <c r="BQ30" i="11"/>
  <c r="BQ29" i="11"/>
  <c r="BQ28" i="11"/>
  <c r="BQ27" i="11"/>
  <c r="BQ26" i="11"/>
  <c r="BQ25" i="11"/>
  <c r="BQ24" i="11"/>
  <c r="BQ23" i="11"/>
  <c r="BQ22" i="11"/>
  <c r="BQ21" i="11"/>
  <c r="BQ20" i="11"/>
  <c r="BQ19" i="11"/>
  <c r="BQ18" i="11"/>
  <c r="BQ17" i="11"/>
  <c r="BQ56" i="13"/>
  <c r="BQ55" i="13"/>
  <c r="BQ54" i="13"/>
  <c r="BQ53" i="13"/>
  <c r="BQ52" i="13"/>
  <c r="BQ51" i="13"/>
  <c r="BQ50" i="13"/>
  <c r="BQ49" i="13"/>
  <c r="BQ48" i="13"/>
  <c r="BQ47" i="13"/>
  <c r="BQ46" i="13"/>
  <c r="BQ45" i="13"/>
  <c r="BQ44" i="13"/>
  <c r="BQ43" i="13"/>
  <c r="BQ42" i="13"/>
  <c r="BQ41" i="13"/>
  <c r="BQ40" i="13"/>
  <c r="BQ39" i="13"/>
  <c r="BQ38" i="13"/>
  <c r="BQ37" i="13"/>
  <c r="BQ36" i="13"/>
  <c r="BQ35" i="13"/>
  <c r="BQ34" i="13"/>
  <c r="BQ33" i="13"/>
  <c r="BQ32" i="13"/>
  <c r="BQ31" i="13"/>
  <c r="BQ30" i="13"/>
  <c r="BQ29" i="13"/>
  <c r="BQ28" i="13"/>
  <c r="BQ27" i="13"/>
  <c r="BQ26" i="13"/>
  <c r="BQ25" i="13"/>
  <c r="BQ24" i="13"/>
  <c r="BQ23" i="13"/>
  <c r="BQ22" i="13"/>
  <c r="BQ21" i="13"/>
  <c r="BQ20" i="13"/>
  <c r="BQ19" i="13"/>
  <c r="BQ18" i="13"/>
  <c r="BQ17" i="13"/>
  <c r="BX56" i="12"/>
  <c r="BX55" i="12"/>
  <c r="BX54" i="12"/>
  <c r="BX53" i="12"/>
  <c r="BX52" i="12"/>
  <c r="BX51" i="12"/>
  <c r="BX50" i="12"/>
  <c r="BX49" i="12"/>
  <c r="BX48" i="12"/>
  <c r="BX47" i="12"/>
  <c r="BX46" i="12"/>
  <c r="BX45" i="12"/>
  <c r="BX44" i="12"/>
  <c r="BX43" i="12"/>
  <c r="BX42" i="12"/>
  <c r="BX41" i="12"/>
  <c r="BX40" i="12"/>
  <c r="BX39" i="12"/>
  <c r="BX38" i="12"/>
  <c r="BX37" i="12"/>
  <c r="BX36" i="12"/>
  <c r="BX35" i="12"/>
  <c r="BX34" i="12"/>
  <c r="BX33" i="12"/>
  <c r="BX32" i="12"/>
  <c r="BX31" i="12"/>
  <c r="BX30" i="12"/>
  <c r="BX29" i="12"/>
  <c r="BX28" i="12"/>
  <c r="BX27" i="12"/>
  <c r="BX26" i="12"/>
  <c r="BX25" i="12"/>
  <c r="BX24" i="12"/>
  <c r="BX23" i="12"/>
  <c r="BX22" i="12"/>
  <c r="BX21" i="12"/>
  <c r="BX20" i="12"/>
  <c r="BX19" i="12"/>
  <c r="BX18" i="12"/>
  <c r="BX17" i="12"/>
  <c r="BX56" i="11"/>
  <c r="BX55" i="11"/>
  <c r="BX54" i="11"/>
  <c r="BX53" i="11"/>
  <c r="BX52" i="11"/>
  <c r="BX51" i="11"/>
  <c r="BX50" i="11"/>
  <c r="BX49" i="11"/>
  <c r="BX48" i="11"/>
  <c r="BX47" i="11"/>
  <c r="BX46" i="11"/>
  <c r="BX45" i="11"/>
  <c r="BX44" i="11"/>
  <c r="BX43" i="11"/>
  <c r="BX42" i="11"/>
  <c r="BX41" i="11"/>
  <c r="BX40" i="11"/>
  <c r="BX39" i="11"/>
  <c r="BX38" i="11"/>
  <c r="BX37" i="11"/>
  <c r="BX36" i="11"/>
  <c r="BX35" i="11"/>
  <c r="BX34" i="11"/>
  <c r="BX33" i="11"/>
  <c r="BX32" i="11"/>
  <c r="BX31" i="11"/>
  <c r="BX30" i="11"/>
  <c r="BX29" i="11"/>
  <c r="BX28" i="11"/>
  <c r="BX27" i="11"/>
  <c r="BX26" i="11"/>
  <c r="BX25" i="11"/>
  <c r="BX24" i="11"/>
  <c r="BX23" i="11"/>
  <c r="BX22" i="11"/>
  <c r="BX21" i="11"/>
  <c r="BX20" i="11"/>
  <c r="BX19" i="11"/>
  <c r="BX18" i="11"/>
  <c r="BX17" i="11"/>
  <c r="BX56" i="13"/>
  <c r="BX55" i="13"/>
  <c r="BX54" i="13"/>
  <c r="BX53" i="13"/>
  <c r="BX52" i="13"/>
  <c r="BX51" i="13"/>
  <c r="BX50" i="13"/>
  <c r="BX49" i="13"/>
  <c r="BX48" i="13"/>
  <c r="BX47" i="13"/>
  <c r="BX46" i="13"/>
  <c r="BX45" i="13"/>
  <c r="BX44" i="13"/>
  <c r="BX43" i="13"/>
  <c r="BX42" i="13"/>
  <c r="BX41" i="13"/>
  <c r="BX40" i="13"/>
  <c r="BX39" i="13"/>
  <c r="BX38" i="13"/>
  <c r="BX37" i="13"/>
  <c r="BX36" i="13"/>
  <c r="BX35" i="13"/>
  <c r="BX34" i="13"/>
  <c r="BX33" i="13"/>
  <c r="BX32" i="13"/>
  <c r="BX31" i="13"/>
  <c r="BX30" i="13"/>
  <c r="BX29" i="13"/>
  <c r="BX28" i="13"/>
  <c r="BX27" i="13"/>
  <c r="BX26" i="13"/>
  <c r="BX25" i="13"/>
  <c r="BX24" i="13"/>
  <c r="BX23" i="13"/>
  <c r="BX22" i="13"/>
  <c r="BX21" i="13"/>
  <c r="BX20" i="13"/>
  <c r="BX19" i="13"/>
  <c r="BX18" i="13"/>
  <c r="BX17" i="13"/>
  <c r="X56" i="9"/>
  <c r="X55" i="9"/>
  <c r="X54" i="9"/>
  <c r="X53" i="9"/>
  <c r="X52" i="9"/>
  <c r="X51" i="9"/>
  <c r="X50" i="9"/>
  <c r="X49" i="9"/>
  <c r="X48" i="9"/>
  <c r="X47" i="9"/>
  <c r="X46" i="9"/>
  <c r="X45" i="9"/>
  <c r="X44" i="9"/>
  <c r="X43" i="9"/>
  <c r="X42" i="9"/>
  <c r="X41" i="9"/>
  <c r="X40" i="9"/>
  <c r="X39" i="9"/>
  <c r="X38" i="9"/>
  <c r="X37" i="9"/>
  <c r="X36" i="9"/>
  <c r="X35" i="9"/>
  <c r="X34" i="9"/>
  <c r="X33" i="9"/>
  <c r="X32" i="9"/>
  <c r="X31" i="9"/>
  <c r="X30" i="9"/>
  <c r="X29" i="9"/>
  <c r="X28" i="9"/>
  <c r="X27" i="9"/>
  <c r="X26" i="9"/>
  <c r="X25" i="9"/>
  <c r="X24" i="9"/>
  <c r="X23" i="9"/>
  <c r="X22" i="9"/>
  <c r="X21" i="9"/>
  <c r="X20" i="9"/>
  <c r="X19" i="9"/>
  <c r="X18" i="9"/>
  <c r="X17" i="9"/>
  <c r="X56" i="10"/>
  <c r="X55" i="10"/>
  <c r="X54" i="10"/>
  <c r="X53" i="10"/>
  <c r="X52" i="10"/>
  <c r="X51" i="10"/>
  <c r="X50" i="10"/>
  <c r="X49" i="10"/>
  <c r="X48" i="10"/>
  <c r="X47" i="10"/>
  <c r="X46" i="10"/>
  <c r="X45" i="10"/>
  <c r="X44" i="10"/>
  <c r="X43" i="10"/>
  <c r="X42" i="10"/>
  <c r="X41" i="10"/>
  <c r="X40" i="10"/>
  <c r="X39" i="10"/>
  <c r="X38" i="10"/>
  <c r="X37" i="10"/>
  <c r="X36" i="10"/>
  <c r="X35" i="10"/>
  <c r="X34" i="10"/>
  <c r="X33" i="10"/>
  <c r="X32" i="10"/>
  <c r="X31" i="10"/>
  <c r="X30" i="10"/>
  <c r="X29" i="10"/>
  <c r="X28" i="10"/>
  <c r="X27" i="10"/>
  <c r="X26" i="10"/>
  <c r="X25" i="10"/>
  <c r="X24" i="10"/>
  <c r="X23" i="10"/>
  <c r="X22" i="10"/>
  <c r="X21" i="10"/>
  <c r="X20" i="10"/>
  <c r="X19" i="10"/>
  <c r="X18" i="10"/>
  <c r="X17" i="10"/>
  <c r="X56" i="13"/>
  <c r="X55" i="13"/>
  <c r="X54" i="13"/>
  <c r="X53" i="13"/>
  <c r="X52" i="13"/>
  <c r="X51" i="13"/>
  <c r="X50" i="13"/>
  <c r="X49" i="13"/>
  <c r="X48" i="13"/>
  <c r="X47" i="13"/>
  <c r="X46" i="13"/>
  <c r="X45" i="13"/>
  <c r="X44" i="13"/>
  <c r="X43" i="13"/>
  <c r="X42" i="13"/>
  <c r="X41" i="13"/>
  <c r="X40" i="13"/>
  <c r="X39" i="13"/>
  <c r="X38" i="13"/>
  <c r="X37" i="13"/>
  <c r="X36" i="13"/>
  <c r="X35" i="13"/>
  <c r="X34" i="13"/>
  <c r="X33" i="13"/>
  <c r="X32" i="13"/>
  <c r="X31" i="13"/>
  <c r="X30" i="13"/>
  <c r="X29" i="13"/>
  <c r="X28" i="13"/>
  <c r="X27" i="13"/>
  <c r="X26" i="13"/>
  <c r="X25" i="13"/>
  <c r="X24" i="13"/>
  <c r="X23" i="13"/>
  <c r="X22" i="13"/>
  <c r="X21" i="13"/>
  <c r="X20" i="13"/>
  <c r="X19" i="13"/>
  <c r="X18" i="13"/>
  <c r="X17" i="13"/>
  <c r="X56" i="12"/>
  <c r="X55" i="12"/>
  <c r="X54" i="12"/>
  <c r="X53" i="12"/>
  <c r="X52" i="12"/>
  <c r="X51" i="12"/>
  <c r="X50" i="12"/>
  <c r="X49" i="12"/>
  <c r="X48" i="12"/>
  <c r="X47" i="12"/>
  <c r="X46" i="12"/>
  <c r="X45" i="12"/>
  <c r="X44" i="12"/>
  <c r="X43" i="12"/>
  <c r="X42" i="12"/>
  <c r="X41" i="12"/>
  <c r="X40" i="12"/>
  <c r="X39" i="12"/>
  <c r="X38" i="12"/>
  <c r="X37" i="12"/>
  <c r="X36" i="12"/>
  <c r="X35" i="12"/>
  <c r="X34" i="12"/>
  <c r="X33" i="12"/>
  <c r="X32" i="12"/>
  <c r="X31" i="12"/>
  <c r="X30" i="12"/>
  <c r="X29" i="12"/>
  <c r="X28" i="12"/>
  <c r="X27" i="12"/>
  <c r="X26" i="12"/>
  <c r="X25" i="12"/>
  <c r="X24" i="12"/>
  <c r="X23" i="12"/>
  <c r="X22" i="12"/>
  <c r="X21" i="12"/>
  <c r="X20" i="12"/>
  <c r="X19" i="12"/>
  <c r="X18" i="12"/>
  <c r="X17" i="12"/>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AG17" i="12"/>
  <c r="P65" i="12"/>
  <c r="O65" i="12"/>
  <c r="AZ19" i="12" l="1"/>
  <c r="AZ21" i="12" l="1"/>
  <c r="AZ20" i="12"/>
  <c r="AZ22" i="12" l="1"/>
  <c r="AZ23" i="12" l="1"/>
  <c r="AZ24" i="12" l="1"/>
  <c r="AZ25" i="12" l="1"/>
  <c r="AZ26" i="12" l="1"/>
  <c r="AZ27" i="12" l="1"/>
  <c r="AZ28" i="12" l="1"/>
  <c r="AZ29" i="12" s="1"/>
  <c r="AZ30" i="12" s="1"/>
  <c r="AZ31" i="12" s="1"/>
  <c r="AZ32" i="12" s="1"/>
  <c r="AZ33" i="12" s="1"/>
  <c r="AZ34" i="12" s="1"/>
  <c r="AZ35" i="12" s="1"/>
  <c r="AZ36" i="12" s="1"/>
  <c r="AZ37" i="12" s="1"/>
  <c r="AZ38" i="12" s="1"/>
  <c r="AZ39" i="12" s="1"/>
  <c r="AZ40" i="12" s="1"/>
  <c r="AZ41" i="12" s="1"/>
  <c r="AZ42" i="12" s="1"/>
  <c r="AZ43" i="12" s="1"/>
  <c r="AZ44" i="12" s="1"/>
  <c r="AZ45" i="12" s="1"/>
  <c r="AZ46" i="12" s="1"/>
  <c r="AZ47" i="12" s="1"/>
  <c r="AZ48" i="12" s="1"/>
  <c r="AZ49" i="12" s="1"/>
  <c r="AZ50" i="12" s="1"/>
  <c r="AZ51" i="12" s="1"/>
  <c r="AZ52" i="12" s="1"/>
  <c r="AZ53" i="12" s="1"/>
  <c r="AZ54" i="12" s="1"/>
  <c r="AZ55" i="12" s="1"/>
  <c r="AZ56" i="12" s="1"/>
  <c r="O62" i="12" l="1"/>
  <c r="O61" i="12"/>
  <c r="AX56" i="12"/>
  <c r="AX55" i="12"/>
  <c r="AX54" i="12"/>
  <c r="AX53" i="12"/>
  <c r="AX52" i="12"/>
  <c r="AX51" i="12"/>
  <c r="AX50" i="12"/>
  <c r="AX49" i="12"/>
  <c r="AX48" i="12"/>
  <c r="AX47" i="12"/>
  <c r="AX46" i="12"/>
  <c r="AX45" i="12"/>
  <c r="AX44" i="12"/>
  <c r="AX43" i="12"/>
  <c r="AX42" i="12"/>
  <c r="AX41" i="12"/>
  <c r="AX40" i="12"/>
  <c r="AX39" i="12"/>
  <c r="AX38" i="12"/>
  <c r="AX37" i="12"/>
  <c r="AX36" i="12"/>
  <c r="AX35" i="12"/>
  <c r="AX34" i="12"/>
  <c r="AX33" i="12"/>
  <c r="AX32" i="12"/>
  <c r="AX31" i="12"/>
  <c r="AX30" i="12"/>
  <c r="AX29" i="12"/>
  <c r="AX28" i="12"/>
  <c r="AX27" i="12"/>
  <c r="AX26" i="12"/>
  <c r="AX25" i="12"/>
  <c r="AX24" i="12"/>
  <c r="AX23" i="12"/>
  <c r="AX22" i="12"/>
  <c r="AX21" i="12"/>
  <c r="AX20" i="12"/>
  <c r="AX58" i="12" s="1"/>
  <c r="AX19" i="12"/>
  <c r="AX18" i="12"/>
  <c r="AX17" i="12"/>
  <c r="AX56" i="11"/>
  <c r="AX55" i="11"/>
  <c r="AX54" i="11"/>
  <c r="AX53" i="11"/>
  <c r="AX52" i="11"/>
  <c r="AX51" i="11"/>
  <c r="AX50" i="11"/>
  <c r="AX49" i="11"/>
  <c r="AX48" i="11"/>
  <c r="AX47" i="11"/>
  <c r="AX46" i="11"/>
  <c r="AX45" i="11"/>
  <c r="AX44" i="11"/>
  <c r="AX43" i="11"/>
  <c r="AX42" i="11"/>
  <c r="AX41" i="11"/>
  <c r="AX40" i="11"/>
  <c r="AX39" i="11"/>
  <c r="AX38" i="11"/>
  <c r="AX37" i="11"/>
  <c r="AX36" i="11"/>
  <c r="AX35" i="11"/>
  <c r="AX34" i="11"/>
  <c r="AX33" i="11"/>
  <c r="AX32" i="11"/>
  <c r="AX31" i="11"/>
  <c r="AX30" i="11"/>
  <c r="AX29" i="11"/>
  <c r="AX28" i="11"/>
  <c r="AX27" i="11"/>
  <c r="AX26" i="11"/>
  <c r="AX25" i="11"/>
  <c r="AX24" i="11"/>
  <c r="AX23" i="11"/>
  <c r="AX22" i="11"/>
  <c r="AX21" i="11"/>
  <c r="AX20" i="11"/>
  <c r="AX19" i="11"/>
  <c r="AX18" i="11"/>
  <c r="AX17" i="11"/>
  <c r="AX58" i="11" s="1"/>
  <c r="AX56" i="13"/>
  <c r="AX55" i="13"/>
  <c r="AX54" i="13"/>
  <c r="AX53" i="13"/>
  <c r="AX52" i="13"/>
  <c r="AX51" i="13"/>
  <c r="AX50" i="13"/>
  <c r="AX49" i="13"/>
  <c r="AX48" i="13"/>
  <c r="AX47" i="13"/>
  <c r="AX46" i="13"/>
  <c r="AX45" i="13"/>
  <c r="AX44" i="13"/>
  <c r="AX43" i="13"/>
  <c r="AX42" i="13"/>
  <c r="AX41" i="13"/>
  <c r="AX40" i="13"/>
  <c r="AX39" i="13"/>
  <c r="AX38" i="13"/>
  <c r="AX37" i="13"/>
  <c r="AX36" i="13"/>
  <c r="AX35" i="13"/>
  <c r="AX34" i="13"/>
  <c r="AX33" i="13"/>
  <c r="AX32" i="13"/>
  <c r="AX31" i="13"/>
  <c r="AX30" i="13"/>
  <c r="AX29" i="13"/>
  <c r="AX28" i="13"/>
  <c r="AX27" i="13"/>
  <c r="AX26" i="13"/>
  <c r="AX25" i="13"/>
  <c r="AX24" i="13"/>
  <c r="AX23" i="13"/>
  <c r="AX22" i="13"/>
  <c r="AX21" i="13"/>
  <c r="AX20" i="13"/>
  <c r="AX19" i="13"/>
  <c r="AX18" i="13"/>
  <c r="AX17" i="13"/>
  <c r="AX56" i="9"/>
  <c r="AX55" i="9"/>
  <c r="AX54" i="9"/>
  <c r="AX53" i="9"/>
  <c r="AX52" i="9"/>
  <c r="AX51" i="9"/>
  <c r="AX50" i="9"/>
  <c r="AX49" i="9"/>
  <c r="AX48" i="9"/>
  <c r="AX47" i="9"/>
  <c r="AX46" i="9"/>
  <c r="AX45" i="9"/>
  <c r="AX44" i="9"/>
  <c r="AX43" i="9"/>
  <c r="AX42" i="9"/>
  <c r="AX41" i="9"/>
  <c r="AX40" i="9"/>
  <c r="AX39" i="9"/>
  <c r="AX38" i="9"/>
  <c r="AX37" i="9"/>
  <c r="AX36" i="9"/>
  <c r="AX35" i="9"/>
  <c r="AX34" i="9"/>
  <c r="AX33" i="9"/>
  <c r="AX32" i="9"/>
  <c r="AX31" i="9"/>
  <c r="AX30" i="9"/>
  <c r="AX29" i="9"/>
  <c r="AX28" i="9"/>
  <c r="AX27" i="9"/>
  <c r="AX26" i="9"/>
  <c r="AX25" i="9"/>
  <c r="AX24" i="9"/>
  <c r="AX23" i="9"/>
  <c r="AX22" i="9"/>
  <c r="AX21" i="9"/>
  <c r="AX20" i="9"/>
  <c r="AX19" i="9"/>
  <c r="AX18" i="9"/>
  <c r="AX17" i="9"/>
  <c r="S35" i="4" a="1"/>
  <c r="S35" i="4" s="1"/>
  <c r="AF56" i="9"/>
  <c r="AF55" i="9"/>
  <c r="AF54" i="9"/>
  <c r="AF53" i="9"/>
  <c r="AF52" i="9"/>
  <c r="AF51" i="9"/>
  <c r="AF50" i="9"/>
  <c r="AF49" i="9"/>
  <c r="AF48" i="9"/>
  <c r="AF47" i="9"/>
  <c r="AF46" i="9"/>
  <c r="AF45" i="9"/>
  <c r="AF44" i="9"/>
  <c r="AF43" i="9"/>
  <c r="AF42" i="9"/>
  <c r="AF41" i="9"/>
  <c r="AF40" i="9"/>
  <c r="AF39" i="9"/>
  <c r="AF38" i="9"/>
  <c r="AF37" i="9"/>
  <c r="AF36" i="9"/>
  <c r="AF35" i="9"/>
  <c r="AF34" i="9"/>
  <c r="AF33" i="9"/>
  <c r="AF32" i="9"/>
  <c r="AF31" i="9"/>
  <c r="AF30" i="9"/>
  <c r="AF29" i="9"/>
  <c r="AF28" i="9"/>
  <c r="AF27" i="9"/>
  <c r="AF26" i="9"/>
  <c r="AF25" i="9"/>
  <c r="AF24" i="9"/>
  <c r="AF23" i="9"/>
  <c r="AF22" i="9"/>
  <c r="AF21" i="9"/>
  <c r="AF20" i="9"/>
  <c r="AF19" i="9"/>
  <c r="AF18" i="9"/>
  <c r="AF17" i="9"/>
  <c r="AX58" i="9" l="1"/>
  <c r="AX58" i="13"/>
  <c r="AF58" i="9"/>
  <c r="AE47" i="12" l="1"/>
  <c r="Y47" i="12"/>
  <c r="AA47" i="12"/>
  <c r="AB47" i="12"/>
  <c r="AF47" i="12"/>
  <c r="AO47" i="12"/>
  <c r="AP47" i="12"/>
  <c r="AQ47" i="12"/>
  <c r="AT47" i="12"/>
  <c r="BH47" i="12" s="1"/>
  <c r="AW47" i="12"/>
  <c r="BK47" i="12" s="1"/>
  <c r="AY47" i="12"/>
  <c r="BL47" i="12" s="1"/>
  <c r="BF47" i="12"/>
  <c r="BF48" i="12" s="1"/>
  <c r="BF49" i="12" s="1"/>
  <c r="BM47" i="12"/>
  <c r="BO47" i="12"/>
  <c r="BP47" i="12"/>
  <c r="BT47" i="12"/>
  <c r="BF50" i="12"/>
  <c r="BF51" i="12" s="1"/>
  <c r="BF52" i="12" s="1"/>
  <c r="BF53" i="12" s="1"/>
  <c r="BF54" i="12"/>
  <c r="BF55" i="12" s="1"/>
  <c r="BF56" i="12" s="1"/>
  <c r="AF47" i="11"/>
  <c r="AT47" i="11"/>
  <c r="BH47" i="11" s="1"/>
  <c r="AW47" i="11"/>
  <c r="BF47" i="11"/>
  <c r="BF48" i="11" s="1"/>
  <c r="BF49" i="11" s="1"/>
  <c r="BF50" i="11" s="1"/>
  <c r="BF51" i="11" s="1"/>
  <c r="BF52" i="11" s="1"/>
  <c r="BF53" i="11" s="1"/>
  <c r="BF54" i="11" s="1"/>
  <c r="BF55" i="11" s="1"/>
  <c r="BF56" i="11" s="1"/>
  <c r="BK47" i="11"/>
  <c r="BO47" i="11"/>
  <c r="BT47" i="11"/>
  <c r="AF48" i="11"/>
  <c r="AP48" i="11"/>
  <c r="AQ48" i="11"/>
  <c r="AT48" i="11"/>
  <c r="AW48" i="11"/>
  <c r="BK48" i="11" s="1"/>
  <c r="BP48" i="11"/>
  <c r="BT48" i="11"/>
  <c r="Z47" i="13"/>
  <c r="AW47" i="13"/>
  <c r="BK47" i="13" s="1"/>
  <c r="BF47" i="13"/>
  <c r="BF48" i="13" s="1"/>
  <c r="BF49" i="13" s="1"/>
  <c r="BF50" i="13" s="1"/>
  <c r="BF51" i="13" s="1"/>
  <c r="BF52" i="13" s="1"/>
  <c r="BF53" i="13" s="1"/>
  <c r="BF54" i="13" s="1"/>
  <c r="BF55" i="13" s="1"/>
  <c r="BF56" i="13" s="1"/>
  <c r="BM47" i="13"/>
  <c r="AR48" i="13"/>
  <c r="AD48" i="13"/>
  <c r="AF48" i="13"/>
  <c r="BR48" i="13"/>
  <c r="BT48" i="13"/>
  <c r="AT47" i="9"/>
  <c r="AW47" i="9"/>
  <c r="BK47" i="9" s="1"/>
  <c r="BF47" i="9"/>
  <c r="BR47" i="9"/>
  <c r="BT47" i="9" a="1"/>
  <c r="BT47" i="9" s="1"/>
  <c r="BF48" i="9"/>
  <c r="BF49" i="9" s="1"/>
  <c r="BF50" i="9" s="1"/>
  <c r="BF51" i="9" s="1"/>
  <c r="BF52" i="9" s="1"/>
  <c r="BF53" i="9"/>
  <c r="BF54" i="9" s="1"/>
  <c r="BF55" i="9" s="1"/>
  <c r="BF56" i="9" s="1"/>
  <c r="P65" i="11"/>
  <c r="O65" i="11"/>
  <c r="P65" i="13"/>
  <c r="O65" i="13"/>
  <c r="P65" i="9"/>
  <c r="O65" i="9"/>
  <c r="P65" i="10"/>
  <c r="O65" i="10"/>
  <c r="T14" i="4" a="1"/>
  <c r="T14" i="4" s="1"/>
  <c r="S14" i="4" a="1"/>
  <c r="S14" i="4" s="1"/>
  <c r="Q14" i="4" a="1"/>
  <c r="Q14" i="4" s="1"/>
  <c r="P14" i="4" a="1"/>
  <c r="P14" i="4" s="1"/>
  <c r="K14" i="4" a="1"/>
  <c r="K14" i="4" s="1"/>
  <c r="J14" i="4" a="1"/>
  <c r="J14" i="4" s="1"/>
  <c r="N14" i="4" a="1"/>
  <c r="N14" i="4" s="1"/>
  <c r="M14" i="4" a="1"/>
  <c r="M14" i="4" s="1"/>
  <c r="BU47" i="12" l="1"/>
  <c r="BR47" i="12"/>
  <c r="AR47" i="12"/>
  <c r="AS47" i="12" s="1"/>
  <c r="AD47" i="12"/>
  <c r="AI47" i="12" s="1"/>
  <c r="Z47" i="12"/>
  <c r="AC47" i="12" s="1"/>
  <c r="BH48" i="11"/>
  <c r="BR48" i="11"/>
  <c r="AR48" i="11"/>
  <c r="AD48" i="11"/>
  <c r="BO48" i="11"/>
  <c r="AO48" i="11"/>
  <c r="AA48" i="11"/>
  <c r="BR47" i="11"/>
  <c r="AR47" i="11"/>
  <c r="AD47" i="11"/>
  <c r="Z48" i="11"/>
  <c r="AQ47" i="11"/>
  <c r="BM48" i="11"/>
  <c r="AY48" i="11"/>
  <c r="BL48" i="11" s="1"/>
  <c r="Y48" i="11"/>
  <c r="BP47" i="11"/>
  <c r="AP47" i="11"/>
  <c r="AO47" i="11"/>
  <c r="AA47" i="11"/>
  <c r="Z47" i="11"/>
  <c r="BM47" i="11"/>
  <c r="AY47" i="11"/>
  <c r="Y47" i="11"/>
  <c r="AB47" i="13"/>
  <c r="AE47" i="13"/>
  <c r="AT48" i="13"/>
  <c r="Y48" i="13"/>
  <c r="AY48" i="13"/>
  <c r="BL48" i="13" s="1"/>
  <c r="BM48" i="13"/>
  <c r="AQ48" i="13"/>
  <c r="Z48" i="13"/>
  <c r="AA48" i="13"/>
  <c r="AO48" i="13"/>
  <c r="BO48" i="13"/>
  <c r="AP48" i="13"/>
  <c r="BP48" i="13"/>
  <c r="Y47" i="13"/>
  <c r="AY47" i="13"/>
  <c r="AW48" i="13"/>
  <c r="BK48" i="13" s="1"/>
  <c r="AA47" i="13"/>
  <c r="AO47" i="13"/>
  <c r="BO47" i="13"/>
  <c r="BT47" i="13"/>
  <c r="AP47" i="13"/>
  <c r="BP47" i="13"/>
  <c r="AF47" i="13"/>
  <c r="AQ47" i="13"/>
  <c r="AD47" i="13"/>
  <c r="AR47" i="13"/>
  <c r="BR47" i="13"/>
  <c r="AT47" i="13"/>
  <c r="BH47" i="9"/>
  <c r="AR47" i="9"/>
  <c r="AD47" i="9"/>
  <c r="AQ47" i="9"/>
  <c r="BP47" i="9"/>
  <c r="AP47" i="9"/>
  <c r="BO47" i="9"/>
  <c r="AO47" i="9"/>
  <c r="AA47" i="9"/>
  <c r="Z47" i="9"/>
  <c r="BM47" i="9"/>
  <c r="AY47" i="9"/>
  <c r="Y47" i="9"/>
  <c r="F19" i="9"/>
  <c r="AW17" i="12"/>
  <c r="P42" i="13"/>
  <c r="AW17" i="11"/>
  <c r="AW17" i="13"/>
  <c r="F42" i="13"/>
  <c r="F41" i="13"/>
  <c r="F40" i="13" s="1"/>
  <c r="AW17" i="10"/>
  <c r="P42" i="10"/>
  <c r="F42" i="10"/>
  <c r="F41" i="10"/>
  <c r="AW17" i="9"/>
  <c r="P42" i="9"/>
  <c r="AS48" i="11" l="1"/>
  <c r="AJ47" i="12"/>
  <c r="AM47" i="12" s="1"/>
  <c r="AW48" i="12"/>
  <c r="BK48" i="12" s="1"/>
  <c r="AA48" i="12"/>
  <c r="AO48" i="12"/>
  <c r="BO48" i="12"/>
  <c r="AP48" i="12"/>
  <c r="BP48" i="12"/>
  <c r="AQ48" i="12"/>
  <c r="AD48" i="12"/>
  <c r="AR48" i="12"/>
  <c r="BR48" i="12"/>
  <c r="AF48" i="12"/>
  <c r="AT48" i="12"/>
  <c r="BT48" i="12"/>
  <c r="Y48" i="12"/>
  <c r="Z48" i="12"/>
  <c r="AY48" i="12"/>
  <c r="BL48" i="12" s="1"/>
  <c r="BM48" i="12"/>
  <c r="BL47" i="11"/>
  <c r="BU48" i="11"/>
  <c r="AS47" i="11"/>
  <c r="AD49" i="11"/>
  <c r="AR49" i="11"/>
  <c r="BR49" i="11"/>
  <c r="AF49" i="11"/>
  <c r="AT49" i="11"/>
  <c r="BT49" i="11"/>
  <c r="AY49" i="11"/>
  <c r="BL49" i="11" s="1"/>
  <c r="BM49" i="11"/>
  <c r="AW49" i="11"/>
  <c r="Y49" i="11"/>
  <c r="AA49" i="11"/>
  <c r="AO49" i="11"/>
  <c r="BO49" i="11"/>
  <c r="AP49" i="11"/>
  <c r="BP49" i="11"/>
  <c r="Z49" i="11"/>
  <c r="AQ49" i="11"/>
  <c r="BU47" i="11"/>
  <c r="AB48" i="11"/>
  <c r="AC48" i="11" s="1"/>
  <c r="AE48" i="11"/>
  <c r="AI48" i="11" s="1"/>
  <c r="AB47" i="11"/>
  <c r="AE47" i="11"/>
  <c r="AI47" i="13"/>
  <c r="BL47" i="13"/>
  <c r="AP49" i="13"/>
  <c r="BP49" i="13"/>
  <c r="Z49" i="13"/>
  <c r="AW49" i="13"/>
  <c r="BK49" i="13" s="1"/>
  <c r="Y49" i="13"/>
  <c r="AY49" i="13"/>
  <c r="BL49" i="13" s="1"/>
  <c r="BM49" i="13"/>
  <c r="AF49" i="13"/>
  <c r="BR49" i="13"/>
  <c r="AQ49" i="13"/>
  <c r="AD49" i="13"/>
  <c r="BO49" i="13"/>
  <c r="AO49" i="13"/>
  <c r="AR49" i="13"/>
  <c r="BT49" i="13"/>
  <c r="AT49" i="13"/>
  <c r="AA49" i="13"/>
  <c r="AC47" i="13"/>
  <c r="AE48" i="13"/>
  <c r="AI48" i="13" s="1"/>
  <c r="AB48" i="13"/>
  <c r="BU47" i="13"/>
  <c r="BU48" i="13"/>
  <c r="BH47" i="13"/>
  <c r="AS47" i="13"/>
  <c r="BH48" i="13"/>
  <c r="AS48" i="13"/>
  <c r="BL47" i="9"/>
  <c r="AB47" i="9"/>
  <c r="AE47" i="9"/>
  <c r="AI47" i="9" s="1"/>
  <c r="AS47" i="9"/>
  <c r="BU47" i="9"/>
  <c r="AW48" i="9"/>
  <c r="Y48" i="9"/>
  <c r="AY48" i="9"/>
  <c r="BL48" i="9" s="1"/>
  <c r="BM48" i="9"/>
  <c r="Z48" i="9"/>
  <c r="AA48" i="9"/>
  <c r="AT48" i="9"/>
  <c r="BR48" i="9"/>
  <c r="BT48" i="9" a="1"/>
  <c r="BT48" i="9" s="1"/>
  <c r="AD48" i="9"/>
  <c r="AQ48" i="9"/>
  <c r="AR48" i="9"/>
  <c r="BP48" i="9"/>
  <c r="AP48" i="9"/>
  <c r="BO48" i="9"/>
  <c r="AO48" i="9"/>
  <c r="O41" i="13"/>
  <c r="P49" i="10"/>
  <c r="P49" i="12"/>
  <c r="P48" i="12"/>
  <c r="P49" i="11"/>
  <c r="P48" i="11"/>
  <c r="P49" i="13"/>
  <c r="P48" i="13"/>
  <c r="G28" i="14"/>
  <c r="G27" i="14"/>
  <c r="F41" i="9" s="1"/>
  <c r="F30" i="9"/>
  <c r="F29" i="9"/>
  <c r="F30" i="10"/>
  <c r="F29" i="10"/>
  <c r="F30" i="13"/>
  <c r="F29" i="13"/>
  <c r="F30" i="11"/>
  <c r="F29" i="11"/>
  <c r="F29" i="12"/>
  <c r="F30" i="12"/>
  <c r="AI7" i="4"/>
  <c r="AG7" i="4"/>
  <c r="AE7" i="4"/>
  <c r="AA7" i="4"/>
  <c r="AC7" i="4"/>
  <c r="S34" i="4" a="1"/>
  <c r="S34" i="4" s="1"/>
  <c r="S33" i="4" a="1"/>
  <c r="S33" i="4" s="1"/>
  <c r="T28" i="4" a="1"/>
  <c r="T28" i="4" s="1"/>
  <c r="S26" i="4" a="1"/>
  <c r="S26" i="4" s="1"/>
  <c r="T19" i="4" a="1"/>
  <c r="T19" i="4" s="1"/>
  <c r="S19" i="4" a="1"/>
  <c r="S19" i="4" s="1"/>
  <c r="T18" i="4" a="1"/>
  <c r="T18" i="4" s="1"/>
  <c r="S18" i="4" a="1"/>
  <c r="S18" i="4" s="1"/>
  <c r="S10" i="4" a="1"/>
  <c r="S10" i="4" s="1"/>
  <c r="S9" i="4" a="1"/>
  <c r="S9" i="4" s="1"/>
  <c r="P35" i="4" a="1"/>
  <c r="P35" i="4" s="1"/>
  <c r="P34" i="4" a="1"/>
  <c r="P34" i="4" s="1"/>
  <c r="P33" i="4" a="1"/>
  <c r="P33" i="4" s="1"/>
  <c r="Q28" i="4" a="1"/>
  <c r="Q28" i="4" s="1"/>
  <c r="P26" i="4" a="1"/>
  <c r="P26" i="4" s="1"/>
  <c r="Q19" i="4" a="1"/>
  <c r="Q19" i="4" s="1"/>
  <c r="P19" i="4" a="1"/>
  <c r="P19" i="4" s="1"/>
  <c r="Q18" i="4" a="1"/>
  <c r="Q18" i="4" s="1"/>
  <c r="P18" i="4" a="1"/>
  <c r="P18" i="4" s="1"/>
  <c r="P10" i="4" a="1"/>
  <c r="P10" i="4" s="1"/>
  <c r="P9" i="4" a="1"/>
  <c r="P9" i="4" s="1"/>
  <c r="M35" i="4" a="1"/>
  <c r="M35" i="4" s="1"/>
  <c r="M34" i="4" a="1"/>
  <c r="M34" i="4" s="1"/>
  <c r="M33" i="4" a="1"/>
  <c r="M33" i="4" s="1"/>
  <c r="N28" i="4" a="1"/>
  <c r="N28" i="4" s="1"/>
  <c r="M26" i="4" a="1"/>
  <c r="M26" i="4" s="1"/>
  <c r="N19" i="4" a="1"/>
  <c r="N19" i="4" s="1"/>
  <c r="M19" i="4" a="1"/>
  <c r="M19" i="4" s="1"/>
  <c r="N18" i="4" a="1"/>
  <c r="N18" i="4" s="1"/>
  <c r="M18" i="4" a="1"/>
  <c r="M18" i="4" s="1"/>
  <c r="M10" i="4" a="1"/>
  <c r="M10" i="4" s="1"/>
  <c r="M9" i="4" a="1"/>
  <c r="M9" i="4" s="1"/>
  <c r="H2" i="2"/>
  <c r="J2" i="2"/>
  <c r="K3" i="2" s="1"/>
  <c r="L2" i="2"/>
  <c r="M3" i="2" s="1"/>
  <c r="F2" i="2"/>
  <c r="F3" i="2" s="1"/>
  <c r="D2" i="2"/>
  <c r="E3" i="2" s="1"/>
  <c r="BU48" i="9" l="1"/>
  <c r="BU49" i="13"/>
  <c r="AJ48" i="11"/>
  <c r="AM48" i="11" s="1"/>
  <c r="AS49" i="11"/>
  <c r="AS48" i="12"/>
  <c r="BH48" i="12"/>
  <c r="AP49" i="12"/>
  <c r="BP49" i="12"/>
  <c r="AR49" i="12"/>
  <c r="AF49" i="12"/>
  <c r="AT49" i="12"/>
  <c r="BT49" i="12"/>
  <c r="Y49" i="12"/>
  <c r="AY49" i="12"/>
  <c r="BL49" i="12" s="1"/>
  <c r="BM49" i="12"/>
  <c r="Z49" i="12"/>
  <c r="AD49" i="12"/>
  <c r="BR49" i="12"/>
  <c r="AA49" i="12"/>
  <c r="AO49" i="12"/>
  <c r="AS49" i="12" s="1"/>
  <c r="BO49" i="12"/>
  <c r="AQ49" i="12"/>
  <c r="AW49" i="12"/>
  <c r="BK49" i="12" s="1"/>
  <c r="BU48" i="12"/>
  <c r="AE48" i="12"/>
  <c r="AI48" i="12" s="1"/>
  <c r="AB48" i="12"/>
  <c r="AC48" i="12" s="1"/>
  <c r="BK49" i="11"/>
  <c r="AI47" i="11"/>
  <c r="AA50" i="11"/>
  <c r="AO50" i="11"/>
  <c r="BO50" i="11"/>
  <c r="AP50" i="11"/>
  <c r="BP50" i="11"/>
  <c r="AQ50" i="11"/>
  <c r="AD50" i="11"/>
  <c r="AR50" i="11"/>
  <c r="BR50" i="11"/>
  <c r="AF50" i="11"/>
  <c r="AT50" i="11"/>
  <c r="BT50" i="11"/>
  <c r="Y50" i="11"/>
  <c r="AY50" i="11"/>
  <c r="BL50" i="11" s="1"/>
  <c r="BM50" i="11"/>
  <c r="AW50" i="11"/>
  <c r="BK50" i="11" s="1"/>
  <c r="Z50" i="11"/>
  <c r="BH49" i="11"/>
  <c r="BU49" i="11"/>
  <c r="AC47" i="11"/>
  <c r="AE49" i="11"/>
  <c r="AI49" i="11" s="1"/>
  <c r="AB49" i="11"/>
  <c r="AC49" i="11" s="1"/>
  <c r="Y50" i="13"/>
  <c r="AY50" i="13"/>
  <c r="BM50" i="13"/>
  <c r="AD50" i="13"/>
  <c r="AR50" i="13"/>
  <c r="BR50" i="13"/>
  <c r="AT50" i="13"/>
  <c r="BT50" i="13"/>
  <c r="AF50" i="13"/>
  <c r="AW50" i="13"/>
  <c r="BO50" i="13"/>
  <c r="AP50" i="13"/>
  <c r="BP50" i="13"/>
  <c r="AQ50" i="13"/>
  <c r="AO50" i="13"/>
  <c r="Z50" i="13"/>
  <c r="AA50" i="13"/>
  <c r="AS49" i="13"/>
  <c r="BH49" i="13"/>
  <c r="AB49" i="13"/>
  <c r="AE49" i="13"/>
  <c r="AI49" i="13" s="1"/>
  <c r="AJ47" i="13"/>
  <c r="AC48" i="13"/>
  <c r="AJ48" i="13" s="1"/>
  <c r="AM48" i="13" s="1"/>
  <c r="AQ49" i="9"/>
  <c r="AD49" i="9"/>
  <c r="AR49" i="9"/>
  <c r="BR49" i="9"/>
  <c r="AT49" i="9"/>
  <c r="BT49" i="9" a="1"/>
  <c r="BT49" i="9" s="1"/>
  <c r="AY49" i="9"/>
  <c r="BL49" i="9" s="1"/>
  <c r="AA49" i="9"/>
  <c r="BO49" i="9"/>
  <c r="AP49" i="9"/>
  <c r="Y49" i="9"/>
  <c r="BP49" i="9"/>
  <c r="AO49" i="9"/>
  <c r="BM49" i="9"/>
  <c r="AW49" i="9"/>
  <c r="BK49" i="9" s="1"/>
  <c r="Z49" i="9"/>
  <c r="AE48" i="9"/>
  <c r="AI48" i="9" s="1"/>
  <c r="AB48" i="9"/>
  <c r="AC48" i="9" s="1"/>
  <c r="BK48" i="9"/>
  <c r="AS48" i="9"/>
  <c r="BH48" i="9"/>
  <c r="AC47" i="9"/>
  <c r="O44" i="13"/>
  <c r="O43" i="13"/>
  <c r="F40" i="10"/>
  <c r="O41" i="10" s="1"/>
  <c r="F42" i="9"/>
  <c r="F40" i="9" s="1"/>
  <c r="O41" i="9" s="1"/>
  <c r="O43" i="9" s="1"/>
  <c r="S8" i="4"/>
  <c r="M8" i="4"/>
  <c r="P8" i="4"/>
  <c r="G3" i="2"/>
  <c r="D3" i="2"/>
  <c r="L3" i="2"/>
  <c r="H3" i="2"/>
  <c r="I3" i="2"/>
  <c r="J3" i="2"/>
  <c r="H28" i="4" a="1"/>
  <c r="H28" i="4" s="1"/>
  <c r="K28" i="4" a="1"/>
  <c r="K28" i="4" s="1"/>
  <c r="G9" i="4" a="1"/>
  <c r="G9" i="4" s="1"/>
  <c r="G35" i="4" a="1"/>
  <c r="G35" i="4" s="1"/>
  <c r="G34" i="4" a="1"/>
  <c r="G34" i="4" s="1"/>
  <c r="G33" i="4" a="1"/>
  <c r="G33" i="4" s="1"/>
  <c r="G26" i="4" a="1"/>
  <c r="G26" i="4" s="1"/>
  <c r="H19" i="4" a="1"/>
  <c r="H19" i="4" s="1"/>
  <c r="G19" i="4" a="1"/>
  <c r="G19" i="4" s="1"/>
  <c r="H18" i="4" a="1"/>
  <c r="H18" i="4" s="1"/>
  <c r="G18" i="4" a="1"/>
  <c r="G18" i="4" s="1"/>
  <c r="G10" i="4" a="1"/>
  <c r="G10" i="4" s="1"/>
  <c r="J35" i="4" a="1"/>
  <c r="J35" i="4" s="1"/>
  <c r="J34" i="4" a="1"/>
  <c r="J34" i="4" s="1"/>
  <c r="J33" i="4" a="1"/>
  <c r="J33" i="4" s="1"/>
  <c r="J26" i="4" a="1"/>
  <c r="J26" i="4" s="1"/>
  <c r="K19" i="4" a="1"/>
  <c r="K19" i="4" s="1"/>
  <c r="J19" i="4" a="1"/>
  <c r="J19" i="4" s="1"/>
  <c r="K18" i="4" a="1"/>
  <c r="K18" i="4" s="1"/>
  <c r="J18" i="4" a="1"/>
  <c r="J18" i="4" s="1"/>
  <c r="J10" i="4" a="1"/>
  <c r="J10" i="4" s="1"/>
  <c r="J9" i="4" a="1"/>
  <c r="J9" i="4" s="1"/>
  <c r="AJ49" i="11" l="1"/>
  <c r="AM49" i="11" s="1"/>
  <c r="AS50" i="13"/>
  <c r="AJ48" i="9"/>
  <c r="AM48" i="9" s="1"/>
  <c r="BH49" i="12"/>
  <c r="AB49" i="12"/>
  <c r="AC49" i="12" s="1"/>
  <c r="AE49" i="12"/>
  <c r="AI49" i="12" s="1"/>
  <c r="BU49" i="12"/>
  <c r="AJ48" i="12"/>
  <c r="AM48" i="12" s="1"/>
  <c r="Y50" i="12"/>
  <c r="AY50" i="12"/>
  <c r="BL50" i="12" s="1"/>
  <c r="BM50" i="12"/>
  <c r="AA50" i="12"/>
  <c r="BO50" i="12"/>
  <c r="AQ50" i="12"/>
  <c r="AD50" i="12"/>
  <c r="AR50" i="12"/>
  <c r="BR50" i="12"/>
  <c r="AW50" i="12"/>
  <c r="BK50" i="12" s="1"/>
  <c r="AO50" i="12"/>
  <c r="BP50" i="12"/>
  <c r="Z50" i="12"/>
  <c r="AP50" i="12"/>
  <c r="AT50" i="12"/>
  <c r="BT50" i="12"/>
  <c r="AF50" i="12"/>
  <c r="BH50" i="11"/>
  <c r="BU50" i="11"/>
  <c r="AB50" i="11"/>
  <c r="AC50" i="11" s="1"/>
  <c r="AE50" i="11"/>
  <c r="AI50" i="11" s="1"/>
  <c r="AS50" i="11"/>
  <c r="Y51" i="11"/>
  <c r="AY51" i="11"/>
  <c r="BM51" i="11"/>
  <c r="Z51" i="11"/>
  <c r="AA51" i="11"/>
  <c r="AO51" i="11"/>
  <c r="BO51" i="11"/>
  <c r="AP51" i="11"/>
  <c r="BP51" i="11"/>
  <c r="AQ51" i="11"/>
  <c r="AD51" i="11"/>
  <c r="AR51" i="11"/>
  <c r="BR51" i="11"/>
  <c r="AF51" i="11"/>
  <c r="AW51" i="11"/>
  <c r="BT51" i="11"/>
  <c r="AT51" i="11"/>
  <c r="AJ47" i="11"/>
  <c r="BH50" i="13"/>
  <c r="AE50" i="13"/>
  <c r="AI50" i="13" s="1"/>
  <c r="AB50" i="13"/>
  <c r="AC49" i="13"/>
  <c r="AJ49" i="13" s="1"/>
  <c r="AM49" i="13" s="1"/>
  <c r="AA51" i="13"/>
  <c r="AO51" i="13"/>
  <c r="BO51" i="13"/>
  <c r="AQ51" i="13"/>
  <c r="AF51" i="13"/>
  <c r="AP51" i="13"/>
  <c r="BP51" i="13"/>
  <c r="AD51" i="13"/>
  <c r="AR51" i="13"/>
  <c r="BR51" i="13"/>
  <c r="AT51" i="13"/>
  <c r="BT51" i="13"/>
  <c r="AY51" i="13"/>
  <c r="BL51" i="13" s="1"/>
  <c r="AW51" i="13"/>
  <c r="BK51" i="13" s="1"/>
  <c r="Y51" i="13"/>
  <c r="BM51" i="13"/>
  <c r="Z51" i="13"/>
  <c r="AM47" i="13"/>
  <c r="BU50" i="13"/>
  <c r="BK50" i="13"/>
  <c r="BL50" i="13"/>
  <c r="AC50" i="13"/>
  <c r="AJ47" i="9"/>
  <c r="AS49" i="9"/>
  <c r="Y50" i="9"/>
  <c r="AY50" i="9"/>
  <c r="BL50" i="9" s="1"/>
  <c r="BM50" i="9"/>
  <c r="Z50" i="9"/>
  <c r="AA50" i="9"/>
  <c r="AO50" i="9"/>
  <c r="BO50" i="9"/>
  <c r="AP50" i="9"/>
  <c r="BP50" i="9"/>
  <c r="AQ50" i="9"/>
  <c r="AR50" i="9"/>
  <c r="AW50" i="9"/>
  <c r="BK50" i="9" s="1"/>
  <c r="AD50" i="9"/>
  <c r="BT50" i="9" a="1"/>
  <c r="BT50" i="9" s="1"/>
  <c r="BR50" i="9"/>
  <c r="AT50" i="9"/>
  <c r="AE49" i="9"/>
  <c r="AB49" i="9"/>
  <c r="AC49" i="9" s="1"/>
  <c r="BH49" i="9"/>
  <c r="AI49" i="9"/>
  <c r="BU49" i="9"/>
  <c r="O44" i="10"/>
  <c r="O43" i="10"/>
  <c r="G14" i="4" s="1" a="1"/>
  <c r="G14" i="4" s="1"/>
  <c r="P41" i="12"/>
  <c r="P44" i="12" s="1"/>
  <c r="O41" i="12"/>
  <c r="O44" i="12" s="1"/>
  <c r="P44" i="11"/>
  <c r="O44" i="11"/>
  <c r="J8" i="4"/>
  <c r="G8" i="4"/>
  <c r="AJ50" i="13" l="1"/>
  <c r="AM50" i="13" s="1"/>
  <c r="AJ49" i="12"/>
  <c r="AM49" i="12" s="1"/>
  <c r="AS50" i="12"/>
  <c r="AJ49" i="9"/>
  <c r="AM49" i="9" s="1"/>
  <c r="AW51" i="12"/>
  <c r="BK51" i="12" s="1"/>
  <c r="Y51" i="12"/>
  <c r="Z51" i="12"/>
  <c r="AA51" i="12"/>
  <c r="AO51" i="12"/>
  <c r="BO51" i="12"/>
  <c r="AD51" i="12"/>
  <c r="AR51" i="12"/>
  <c r="BR51" i="12"/>
  <c r="AT51" i="12"/>
  <c r="BT51" i="12"/>
  <c r="BM51" i="12"/>
  <c r="AF51" i="12"/>
  <c r="AY51" i="12"/>
  <c r="BL51" i="12" s="1"/>
  <c r="AQ51" i="12"/>
  <c r="BP51" i="12"/>
  <c r="AP51" i="12"/>
  <c r="AB50" i="12"/>
  <c r="AC50" i="12" s="1"/>
  <c r="AE50" i="12"/>
  <c r="AI50" i="12" s="1"/>
  <c r="BU50" i="12"/>
  <c r="BH50" i="12"/>
  <c r="AB51" i="11"/>
  <c r="AC51" i="11" s="1"/>
  <c r="AE51" i="11"/>
  <c r="AI51" i="11" s="1"/>
  <c r="AS51" i="11"/>
  <c r="AJ50" i="11"/>
  <c r="AM50" i="11" s="1"/>
  <c r="BK51" i="11"/>
  <c r="AW52" i="11"/>
  <c r="BK52" i="11" s="1"/>
  <c r="Y52" i="11"/>
  <c r="AY52" i="11"/>
  <c r="BL52" i="11" s="1"/>
  <c r="BM52" i="11"/>
  <c r="AP52" i="11"/>
  <c r="Z52" i="11"/>
  <c r="BP52" i="11"/>
  <c r="AA52" i="11"/>
  <c r="AO52" i="11"/>
  <c r="BO52" i="11"/>
  <c r="AD52" i="11"/>
  <c r="AR52" i="11"/>
  <c r="BR52" i="11"/>
  <c r="AF52" i="11"/>
  <c r="AQ52" i="11"/>
  <c r="AT52" i="11"/>
  <c r="BT52" i="11"/>
  <c r="AM47" i="11"/>
  <c r="BH51" i="11"/>
  <c r="BL51" i="11"/>
  <c r="BU51" i="11"/>
  <c r="BH51" i="13"/>
  <c r="BU51" i="13"/>
  <c r="AS51" i="13"/>
  <c r="Y52" i="13"/>
  <c r="AY52" i="13"/>
  <c r="BM52" i="13"/>
  <c r="Z52" i="13"/>
  <c r="AA52" i="13"/>
  <c r="AO52" i="13"/>
  <c r="BO52" i="13"/>
  <c r="AP52" i="13"/>
  <c r="BP52" i="13"/>
  <c r="AQ52" i="13"/>
  <c r="AW52" i="13"/>
  <c r="BK52" i="13" s="1"/>
  <c r="AD52" i="13"/>
  <c r="AF52" i="13"/>
  <c r="BT52" i="13"/>
  <c r="AR52" i="13"/>
  <c r="BR52" i="13"/>
  <c r="AT52" i="13"/>
  <c r="AB51" i="13"/>
  <c r="AC51" i="13" s="1"/>
  <c r="AE51" i="13"/>
  <c r="AI51" i="13" s="1"/>
  <c r="AB50" i="9"/>
  <c r="AE50" i="9"/>
  <c r="AW51" i="9"/>
  <c r="AP51" i="9"/>
  <c r="Y51" i="9"/>
  <c r="AQ51" i="9"/>
  <c r="BM51" i="9"/>
  <c r="Z51" i="9"/>
  <c r="AR51" i="9"/>
  <c r="AO51" i="9"/>
  <c r="AA51" i="9"/>
  <c r="BT51" i="9" a="1"/>
  <c r="BT51" i="9" s="1"/>
  <c r="AY51" i="9"/>
  <c r="BO51" i="9"/>
  <c r="AT51" i="9"/>
  <c r="BP51" i="9"/>
  <c r="AD51" i="9"/>
  <c r="BR51" i="9"/>
  <c r="AM47" i="9"/>
  <c r="AS50" i="9"/>
  <c r="AI50" i="9"/>
  <c r="BU50" i="9"/>
  <c r="BH50" i="9"/>
  <c r="AC50" i="9"/>
  <c r="G23" i="14"/>
  <c r="G20" i="14"/>
  <c r="G17" i="14"/>
  <c r="G5" i="14"/>
  <c r="G8" i="14" s="1"/>
  <c r="BP17" i="10"/>
  <c r="G14" i="14"/>
  <c r="G11" i="14"/>
  <c r="AJ50" i="9" l="1"/>
  <c r="AM50" i="9" s="1"/>
  <c r="AJ50" i="12"/>
  <c r="AM50" i="12" s="1"/>
  <c r="BU51" i="12"/>
  <c r="AS51" i="12"/>
  <c r="AT52" i="12"/>
  <c r="AW52" i="12"/>
  <c r="BK52" i="12" s="1"/>
  <c r="AA52" i="12"/>
  <c r="AO52" i="12"/>
  <c r="BO52" i="12"/>
  <c r="AQ52" i="12"/>
  <c r="AP52" i="12"/>
  <c r="BP52" i="12"/>
  <c r="AD52" i="12"/>
  <c r="AR52" i="12"/>
  <c r="BR52" i="12"/>
  <c r="AF52" i="12"/>
  <c r="BT52" i="12"/>
  <c r="Y52" i="12"/>
  <c r="Z52" i="12"/>
  <c r="AY52" i="12"/>
  <c r="BL52" i="12" s="1"/>
  <c r="BM52" i="12"/>
  <c r="AE51" i="12"/>
  <c r="AI51" i="12" s="1"/>
  <c r="AB51" i="12"/>
  <c r="AC51" i="12" s="1"/>
  <c r="BH51" i="12"/>
  <c r="BH52" i="11"/>
  <c r="AJ51" i="11"/>
  <c r="BU52" i="11"/>
  <c r="AB52" i="11"/>
  <c r="AE52" i="11"/>
  <c r="AI52" i="11" s="1"/>
  <c r="AS52" i="11"/>
  <c r="AD53" i="11"/>
  <c r="AR53" i="11"/>
  <c r="BR53" i="11"/>
  <c r="AF53" i="11"/>
  <c r="AT53" i="11"/>
  <c r="BT53" i="11"/>
  <c r="AW53" i="11"/>
  <c r="BK53" i="11" s="1"/>
  <c r="Y53" i="11"/>
  <c r="AY53" i="11"/>
  <c r="BM53" i="11"/>
  <c r="AA53" i="11"/>
  <c r="AO53" i="11"/>
  <c r="BO53" i="11"/>
  <c r="BU53" i="11" s="1"/>
  <c r="AP53" i="11"/>
  <c r="BP53" i="11"/>
  <c r="Z53" i="11"/>
  <c r="AQ53" i="11"/>
  <c r="AJ51" i="13"/>
  <c r="BH52" i="13"/>
  <c r="BU52" i="13"/>
  <c r="AS52" i="13"/>
  <c r="BL52" i="13"/>
  <c r="AP53" i="13"/>
  <c r="BP53" i="13"/>
  <c r="AW53" i="13"/>
  <c r="BK53" i="13" s="1"/>
  <c r="Z53" i="13"/>
  <c r="Y53" i="13"/>
  <c r="AY53" i="13"/>
  <c r="BL53" i="13" s="1"/>
  <c r="BM53" i="13"/>
  <c r="AA53" i="13"/>
  <c r="BO53" i="13"/>
  <c r="AO53" i="13"/>
  <c r="BR53" i="13"/>
  <c r="AD53" i="13"/>
  <c r="AF53" i="13"/>
  <c r="AQ53" i="13"/>
  <c r="AR53" i="13"/>
  <c r="BT53" i="13"/>
  <c r="AT53" i="13"/>
  <c r="AC52" i="13"/>
  <c r="AE52" i="13"/>
  <c r="AI52" i="13" s="1"/>
  <c r="AB52" i="13"/>
  <c r="AE51" i="9"/>
  <c r="AI51" i="9" s="1"/>
  <c r="AB51" i="9"/>
  <c r="BK51" i="9"/>
  <c r="BL51" i="9"/>
  <c r="BH51" i="9"/>
  <c r="AQ52" i="9"/>
  <c r="AD52" i="9"/>
  <c r="AR52" i="9"/>
  <c r="BR52" i="9"/>
  <c r="AT52" i="9"/>
  <c r="BT52" i="9" a="1"/>
  <c r="BT52" i="9" s="1"/>
  <c r="AP52" i="9"/>
  <c r="Y52" i="9"/>
  <c r="BM52" i="9"/>
  <c r="AO52" i="9"/>
  <c r="AY52" i="9"/>
  <c r="BL52" i="9" s="1"/>
  <c r="AW52" i="9"/>
  <c r="BK52" i="9" s="1"/>
  <c r="BO52" i="9"/>
  <c r="Z52" i="9"/>
  <c r="AA52" i="9"/>
  <c r="BP52" i="9"/>
  <c r="AS51" i="9"/>
  <c r="BU51" i="9"/>
  <c r="AC51" i="9"/>
  <c r="I32" i="14"/>
  <c r="H32" i="14"/>
  <c r="F51" i="12" s="1"/>
  <c r="G26" i="14"/>
  <c r="AS53" i="13" l="1"/>
  <c r="AS52" i="9"/>
  <c r="AE52" i="12"/>
  <c r="AB52" i="12"/>
  <c r="BU52" i="12"/>
  <c r="AS52" i="12"/>
  <c r="AC52" i="12"/>
  <c r="AI52" i="12"/>
  <c r="AJ51" i="12"/>
  <c r="AM51" i="12" s="1"/>
  <c r="AP53" i="12"/>
  <c r="BP53" i="12"/>
  <c r="AF53" i="12"/>
  <c r="AT53" i="12"/>
  <c r="BT53" i="12"/>
  <c r="Y53" i="12"/>
  <c r="AY53" i="12"/>
  <c r="BL53" i="12" s="1"/>
  <c r="BM53" i="12"/>
  <c r="Z53" i="12"/>
  <c r="AD53" i="12"/>
  <c r="AR53" i="12"/>
  <c r="BR53" i="12"/>
  <c r="AA53" i="12"/>
  <c r="AO53" i="12"/>
  <c r="BO53" i="12"/>
  <c r="AQ53" i="12"/>
  <c r="AW53" i="12"/>
  <c r="BK53" i="12" s="1"/>
  <c r="BH52" i="12"/>
  <c r="AS53" i="11"/>
  <c r="BH53" i="11"/>
  <c r="AE53" i="11"/>
  <c r="AI53" i="11" s="1"/>
  <c r="AB53" i="11"/>
  <c r="AC53" i="11" s="1"/>
  <c r="BL53" i="11"/>
  <c r="AA54" i="11"/>
  <c r="AO54" i="11"/>
  <c r="BO54" i="11"/>
  <c r="AP54" i="11"/>
  <c r="BP54" i="11"/>
  <c r="AQ54" i="11"/>
  <c r="AD54" i="11"/>
  <c r="AR54" i="11"/>
  <c r="BR54" i="11"/>
  <c r="AF54" i="11"/>
  <c r="AT54" i="11"/>
  <c r="BT54" i="11"/>
  <c r="Y54" i="11"/>
  <c r="AY54" i="11"/>
  <c r="BL54" i="11" s="1"/>
  <c r="BM54" i="11"/>
  <c r="Z54" i="11"/>
  <c r="AW54" i="11"/>
  <c r="BK54" i="11" s="1"/>
  <c r="AC52" i="11"/>
  <c r="AM51" i="11"/>
  <c r="Y54" i="13"/>
  <c r="AY54" i="13"/>
  <c r="BL54" i="13" s="1"/>
  <c r="BM54" i="13"/>
  <c r="AD54" i="13"/>
  <c r="AR54" i="13"/>
  <c r="BR54" i="13"/>
  <c r="AF54" i="13"/>
  <c r="AT54" i="13"/>
  <c r="BT54" i="13"/>
  <c r="AA54" i="13"/>
  <c r="AO54" i="13"/>
  <c r="BP54" i="13"/>
  <c r="BO54" i="13"/>
  <c r="AQ54" i="13"/>
  <c r="AW54" i="13"/>
  <c r="BK54" i="13" s="1"/>
  <c r="AP54" i="13"/>
  <c r="Z54" i="13"/>
  <c r="AJ52" i="13"/>
  <c r="AM52" i="13" s="1"/>
  <c r="BH53" i="13"/>
  <c r="AM51" i="13"/>
  <c r="AB53" i="13"/>
  <c r="AC53" i="13" s="1"/>
  <c r="AE53" i="13"/>
  <c r="AI53" i="13" s="1"/>
  <c r="BU53" i="13"/>
  <c r="AE52" i="9"/>
  <c r="AI52" i="9" s="1"/>
  <c r="AB52" i="9"/>
  <c r="BU52" i="9"/>
  <c r="AJ51" i="9"/>
  <c r="BH52" i="9"/>
  <c r="AC52" i="9"/>
  <c r="Y53" i="9"/>
  <c r="AY53" i="9"/>
  <c r="BL53" i="9" s="1"/>
  <c r="BM53" i="9"/>
  <c r="Z53" i="9"/>
  <c r="AA53" i="9"/>
  <c r="AO53" i="9"/>
  <c r="BO53" i="9"/>
  <c r="AP53" i="9"/>
  <c r="BP53" i="9"/>
  <c r="AQ53" i="9"/>
  <c r="AT53" i="9"/>
  <c r="AR53" i="9"/>
  <c r="BR53" i="9"/>
  <c r="AW53" i="9"/>
  <c r="BT53" i="9" a="1"/>
  <c r="BT53" i="9" s="1"/>
  <c r="AD53" i="9"/>
  <c r="J34" i="14"/>
  <c r="F24" i="9" s="1"/>
  <c r="H33" i="14"/>
  <c r="F52" i="13" s="1"/>
  <c r="P41" i="13" s="1"/>
  <c r="P43" i="13" s="1"/>
  <c r="P44" i="13" s="1"/>
  <c r="I33" i="14"/>
  <c r="F51" i="13"/>
  <c r="F51" i="9"/>
  <c r="F51" i="10"/>
  <c r="F51" i="11"/>
  <c r="F24" i="11"/>
  <c r="F24" i="10"/>
  <c r="F24" i="12"/>
  <c r="F24" i="13"/>
  <c r="AY17" i="9"/>
  <c r="AT17" i="9"/>
  <c r="AQ17" i="9"/>
  <c r="AP17" i="9"/>
  <c r="AO17" i="9"/>
  <c r="AD17" i="9"/>
  <c r="AA17" i="9"/>
  <c r="Z17" i="9"/>
  <c r="Y17" i="9"/>
  <c r="AY17" i="10"/>
  <c r="AT17" i="10"/>
  <c r="AQ17" i="10"/>
  <c r="AP17" i="10"/>
  <c r="AO17" i="10"/>
  <c r="AD17" i="10"/>
  <c r="AA17" i="10"/>
  <c r="Z17" i="10"/>
  <c r="Y17" i="10"/>
  <c r="AY17" i="13"/>
  <c r="AT17" i="13"/>
  <c r="AQ17" i="13"/>
  <c r="AP17" i="13"/>
  <c r="AO17" i="13"/>
  <c r="AD17" i="13"/>
  <c r="AA17" i="13"/>
  <c r="Z17" i="13"/>
  <c r="Y17" i="13"/>
  <c r="AY17" i="11"/>
  <c r="AT17" i="11"/>
  <c r="AQ17" i="11"/>
  <c r="AP17" i="11"/>
  <c r="AO17" i="11"/>
  <c r="AD17" i="11"/>
  <c r="AA17" i="11"/>
  <c r="Z17" i="11"/>
  <c r="Y17" i="11"/>
  <c r="AH17" i="10" l="1"/>
  <c r="AH18" i="10"/>
  <c r="BU54" i="13"/>
  <c r="AJ53" i="13"/>
  <c r="AJ52" i="12"/>
  <c r="AM52" i="12" s="1"/>
  <c r="AS53" i="12"/>
  <c r="BA17" i="9"/>
  <c r="AS54" i="13"/>
  <c r="BA17" i="13"/>
  <c r="AJ52" i="9"/>
  <c r="AM52" i="9" s="1"/>
  <c r="BU53" i="12"/>
  <c r="AB53" i="12"/>
  <c r="AC53" i="12" s="1"/>
  <c r="AE53" i="12"/>
  <c r="AI53" i="12" s="1"/>
  <c r="BH53" i="12"/>
  <c r="Y54" i="12"/>
  <c r="AY54" i="12"/>
  <c r="BL54" i="12" s="1"/>
  <c r="BM54" i="12"/>
  <c r="AA54" i="12"/>
  <c r="BO54" i="12"/>
  <c r="BP54" i="12"/>
  <c r="AQ54" i="12"/>
  <c r="AD54" i="12"/>
  <c r="AR54" i="12"/>
  <c r="BR54" i="12"/>
  <c r="AW54" i="12"/>
  <c r="BK54" i="12" s="1"/>
  <c r="AO54" i="12"/>
  <c r="AP54" i="12"/>
  <c r="Z54" i="12"/>
  <c r="BT54" i="12"/>
  <c r="AF54" i="12"/>
  <c r="AT54" i="12"/>
  <c r="AB54" i="11"/>
  <c r="AC54" i="11" s="1"/>
  <c r="AE54" i="11"/>
  <c r="AI54" i="11" s="1"/>
  <c r="AJ53" i="11"/>
  <c r="AM53" i="11" s="1"/>
  <c r="BU54" i="11"/>
  <c r="AS54" i="11"/>
  <c r="Z55" i="11"/>
  <c r="Y55" i="11"/>
  <c r="AY55" i="11"/>
  <c r="BM55" i="11"/>
  <c r="AA55" i="11"/>
  <c r="AO55" i="11"/>
  <c r="BO55" i="11"/>
  <c r="AP55" i="11"/>
  <c r="BP55" i="11"/>
  <c r="AQ55" i="11"/>
  <c r="AD55" i="11"/>
  <c r="AR55" i="11"/>
  <c r="BR55" i="11"/>
  <c r="AT55" i="11"/>
  <c r="AW55" i="11"/>
  <c r="BK55" i="11" s="1"/>
  <c r="AF55" i="11"/>
  <c r="BT55" i="11"/>
  <c r="BH54" i="11"/>
  <c r="AJ52" i="11"/>
  <c r="AM53" i="13"/>
  <c r="AE54" i="13"/>
  <c r="AI54" i="13" s="1"/>
  <c r="AB54" i="13"/>
  <c r="AC54" i="13" s="1"/>
  <c r="BH54" i="13"/>
  <c r="AA55" i="13"/>
  <c r="AO55" i="13"/>
  <c r="BO55" i="13"/>
  <c r="AQ55" i="13"/>
  <c r="AP55" i="13"/>
  <c r="BP55" i="13"/>
  <c r="AD55" i="13"/>
  <c r="AR55" i="13"/>
  <c r="BR55" i="13"/>
  <c r="Y55" i="13"/>
  <c r="AY55" i="13"/>
  <c r="BL55" i="13" s="1"/>
  <c r="Z55" i="13"/>
  <c r="AF55" i="13"/>
  <c r="AT55" i="13"/>
  <c r="BT55" i="13"/>
  <c r="BM55" i="13"/>
  <c r="AW55" i="13"/>
  <c r="BK55" i="13" s="1"/>
  <c r="BK53" i="9"/>
  <c r="BU53" i="9"/>
  <c r="AM51" i="9"/>
  <c r="AS53" i="9"/>
  <c r="BH53" i="9"/>
  <c r="AW54" i="9"/>
  <c r="BK54" i="9" s="1"/>
  <c r="Y54" i="9"/>
  <c r="AQ54" i="9"/>
  <c r="BM54" i="9"/>
  <c r="Z54" i="9"/>
  <c r="AR54" i="9"/>
  <c r="AT54" i="9"/>
  <c r="BP54" i="9"/>
  <c r="AY54" i="9"/>
  <c r="BL54" i="9" s="1"/>
  <c r="AA54" i="9"/>
  <c r="BO54" i="9"/>
  <c r="BT54" i="9" a="1"/>
  <c r="BT54" i="9" s="1"/>
  <c r="AO54" i="9"/>
  <c r="AP54" i="9"/>
  <c r="AD54" i="9"/>
  <c r="BR54" i="9"/>
  <c r="AB53" i="9"/>
  <c r="AC53" i="9" s="1"/>
  <c r="AE53" i="9"/>
  <c r="AI53" i="9" s="1"/>
  <c r="F52" i="10"/>
  <c r="F52" i="9"/>
  <c r="BA18" i="9"/>
  <c r="BA17" i="10"/>
  <c r="BA18" i="10"/>
  <c r="BA18" i="13"/>
  <c r="BA17" i="11"/>
  <c r="BA18" i="11"/>
  <c r="AJ53" i="9" l="1"/>
  <c r="AJ54" i="13"/>
  <c r="AS54" i="12"/>
  <c r="AB54" i="12"/>
  <c r="AC54" i="12" s="1"/>
  <c r="AE54" i="12"/>
  <c r="BU54" i="12"/>
  <c r="BM55" i="12"/>
  <c r="Z55" i="12"/>
  <c r="AA55" i="12"/>
  <c r="AO55" i="12"/>
  <c r="BO55" i="12"/>
  <c r="AD55" i="12"/>
  <c r="AR55" i="12"/>
  <c r="BR55" i="12"/>
  <c r="AT55" i="12"/>
  <c r="BT55" i="12"/>
  <c r="AF55" i="12"/>
  <c r="AY55" i="12"/>
  <c r="BL55" i="12" s="1"/>
  <c r="AW55" i="12"/>
  <c r="BK55" i="12" s="1"/>
  <c r="Y55" i="12"/>
  <c r="AP55" i="12"/>
  <c r="AQ55" i="12"/>
  <c r="BP55" i="12"/>
  <c r="BH54" i="12"/>
  <c r="AJ53" i="12"/>
  <c r="AM53" i="12" s="1"/>
  <c r="AI54" i="12"/>
  <c r="AJ54" i="11"/>
  <c r="AM54" i="11" s="1"/>
  <c r="AB55" i="11"/>
  <c r="AC55" i="11" s="1"/>
  <c r="AE55" i="11"/>
  <c r="AI55" i="11" s="1"/>
  <c r="BH55" i="11"/>
  <c r="BU55" i="11"/>
  <c r="AS55" i="11"/>
  <c r="AW56" i="11"/>
  <c r="Y56" i="11"/>
  <c r="AY56" i="11"/>
  <c r="BL56" i="11" s="1"/>
  <c r="BM56" i="11"/>
  <c r="AP56" i="11"/>
  <c r="BP56" i="11"/>
  <c r="Z56" i="11"/>
  <c r="AA56" i="11"/>
  <c r="AO56" i="11"/>
  <c r="BO56" i="11"/>
  <c r="AD56" i="11"/>
  <c r="AR56" i="11"/>
  <c r="BR56" i="11"/>
  <c r="BT56" i="11"/>
  <c r="AF56" i="11"/>
  <c r="AQ56" i="11"/>
  <c r="AT56" i="11"/>
  <c r="AM52" i="11"/>
  <c r="BL55" i="11"/>
  <c r="AM54" i="13"/>
  <c r="Z56" i="13"/>
  <c r="BP56" i="13"/>
  <c r="Y56" i="13"/>
  <c r="AY56" i="13"/>
  <c r="BM56" i="13"/>
  <c r="AA56" i="13"/>
  <c r="AO56" i="13"/>
  <c r="BO56" i="13"/>
  <c r="AP56" i="13"/>
  <c r="AF56" i="13"/>
  <c r="AD56" i="13"/>
  <c r="AW56" i="13"/>
  <c r="AQ56" i="13"/>
  <c r="AR56" i="13"/>
  <c r="BR56" i="13"/>
  <c r="AT56" i="13"/>
  <c r="BT56" i="13"/>
  <c r="BU55" i="13"/>
  <c r="AS55" i="13"/>
  <c r="AB55" i="13"/>
  <c r="AC55" i="13" s="1"/>
  <c r="AE55" i="13"/>
  <c r="AI55" i="13" s="1"/>
  <c r="BH55" i="13"/>
  <c r="AM53" i="9"/>
  <c r="AB54" i="9"/>
  <c r="AE54" i="9"/>
  <c r="AI54" i="9" s="1"/>
  <c r="BH54" i="9"/>
  <c r="AQ55" i="9"/>
  <c r="AR55" i="9"/>
  <c r="BR55" i="9"/>
  <c r="AT55" i="9"/>
  <c r="BT55" i="9" a="1"/>
  <c r="BT55" i="9" s="1"/>
  <c r="Y55" i="9"/>
  <c r="AP55" i="9"/>
  <c r="BO55" i="9"/>
  <c r="Z55" i="9"/>
  <c r="BM55" i="9"/>
  <c r="AW55" i="9"/>
  <c r="BK55" i="9" s="1"/>
  <c r="AD55" i="9"/>
  <c r="BP55" i="9"/>
  <c r="AA55" i="9"/>
  <c r="AY55" i="9"/>
  <c r="BL55" i="9" s="1"/>
  <c r="AO55" i="9"/>
  <c r="AS55" i="9" s="1"/>
  <c r="AS54" i="9"/>
  <c r="AC54" i="9"/>
  <c r="BU54" i="9"/>
  <c r="BL17" i="9"/>
  <c r="O107" i="13"/>
  <c r="O105" i="13"/>
  <c r="O103" i="13"/>
  <c r="P89" i="13"/>
  <c r="P88" i="13"/>
  <c r="P90" i="13" s="1"/>
  <c r="U87" i="13" s="1"/>
  <c r="U86" i="13"/>
  <c r="P85" i="13"/>
  <c r="P84" i="13"/>
  <c r="U83" i="13"/>
  <c r="U82" i="13"/>
  <c r="P81" i="13"/>
  <c r="P80" i="13"/>
  <c r="U79" i="13"/>
  <c r="U78" i="13"/>
  <c r="P78" i="13"/>
  <c r="P92" i="13" s="1"/>
  <c r="U75" i="13"/>
  <c r="P75" i="13"/>
  <c r="U74" i="13"/>
  <c r="P74" i="13"/>
  <c r="P67" i="13"/>
  <c r="O108" i="13" s="1"/>
  <c r="P52" i="13"/>
  <c r="F36" i="13"/>
  <c r="P36" i="13" s="1"/>
  <c r="F34" i="13"/>
  <c r="E34" i="13"/>
  <c r="O29" i="13"/>
  <c r="F28" i="13"/>
  <c r="P29" i="13" s="1"/>
  <c r="O22" i="13"/>
  <c r="BF17" i="13" s="1"/>
  <c r="BF18" i="13" s="1"/>
  <c r="BF19" i="13" s="1"/>
  <c r="BF20" i="13" s="1"/>
  <c r="BF21" i="13" s="1"/>
  <c r="BF22" i="13" s="1"/>
  <c r="BF23" i="13" s="1"/>
  <c r="BF24" i="13" s="1"/>
  <c r="BF25" i="13" s="1"/>
  <c r="BF26" i="13" s="1"/>
  <c r="BF27" i="13" s="1"/>
  <c r="BF28" i="13" s="1"/>
  <c r="BF29" i="13" s="1"/>
  <c r="BF30" i="13" s="1"/>
  <c r="BF31" i="13" s="1"/>
  <c r="BF32" i="13" s="1"/>
  <c r="BF33" i="13" s="1"/>
  <c r="BF34" i="13" s="1"/>
  <c r="BF35" i="13" s="1"/>
  <c r="BF36" i="13" s="1"/>
  <c r="BF37" i="13" s="1"/>
  <c r="BF38" i="13" s="1"/>
  <c r="BF39" i="13" s="1"/>
  <c r="BF40" i="13" s="1"/>
  <c r="BF41" i="13" s="1"/>
  <c r="BF42" i="13" s="1"/>
  <c r="BF43" i="13" s="1"/>
  <c r="BF44" i="13" s="1"/>
  <c r="BF45" i="13" s="1"/>
  <c r="BF46" i="13" s="1"/>
  <c r="BP17" i="13"/>
  <c r="BO17" i="13"/>
  <c r="BM17" i="13"/>
  <c r="BL17" i="13"/>
  <c r="BK17" i="13"/>
  <c r="BH17" i="13"/>
  <c r="V17" i="13"/>
  <c r="F19" i="13"/>
  <c r="F20" i="13" s="1"/>
  <c r="F21" i="13" s="1"/>
  <c r="O16" i="13"/>
  <c r="F36" i="11"/>
  <c r="AE55" i="12" l="1"/>
  <c r="AB55" i="12"/>
  <c r="BH55" i="12"/>
  <c r="AC55" i="12"/>
  <c r="AI55" i="12"/>
  <c r="BU55" i="12"/>
  <c r="AS55" i="12"/>
  <c r="AT56" i="12"/>
  <c r="BT56" i="12"/>
  <c r="AW56" i="12"/>
  <c r="BK56" i="12" s="1"/>
  <c r="AA56" i="12"/>
  <c r="AO56" i="12"/>
  <c r="BO56" i="12"/>
  <c r="AQ56" i="12"/>
  <c r="AP56" i="12"/>
  <c r="BP56" i="12"/>
  <c r="AD56" i="12"/>
  <c r="AR56" i="12"/>
  <c r="BR56" i="12"/>
  <c r="AF56" i="12"/>
  <c r="Y56" i="12"/>
  <c r="Z56" i="12"/>
  <c r="AY56" i="12"/>
  <c r="BL56" i="12" s="1"/>
  <c r="BM56" i="12"/>
  <c r="AJ54" i="12"/>
  <c r="AM54" i="12" s="1"/>
  <c r="AJ55" i="11"/>
  <c r="BU56" i="11"/>
  <c r="AS56" i="11"/>
  <c r="BK56" i="11"/>
  <c r="BH56" i="11"/>
  <c r="AB56" i="11"/>
  <c r="AC56" i="11" s="1"/>
  <c r="AE56" i="11"/>
  <c r="BL56" i="13"/>
  <c r="BK56" i="13"/>
  <c r="AE56" i="13"/>
  <c r="AI56" i="13" s="1"/>
  <c r="AB56" i="13"/>
  <c r="AJ55" i="13"/>
  <c r="AM55" i="13" s="1"/>
  <c r="BH56" i="13"/>
  <c r="BU56" i="13"/>
  <c r="AS56" i="13"/>
  <c r="AE55" i="9"/>
  <c r="AB55" i="9"/>
  <c r="Y56" i="9"/>
  <c r="AY56" i="9"/>
  <c r="BM56" i="9"/>
  <c r="Z56" i="9"/>
  <c r="AA56" i="9"/>
  <c r="AO56" i="9"/>
  <c r="BO56" i="9"/>
  <c r="AP56" i="9"/>
  <c r="BP56" i="9"/>
  <c r="AT56" i="9"/>
  <c r="AW56" i="9"/>
  <c r="AD56" i="9"/>
  <c r="BR56" i="9"/>
  <c r="AR56" i="9"/>
  <c r="AQ56" i="9"/>
  <c r="BT56" i="9" a="1"/>
  <c r="BT56" i="9" s="1"/>
  <c r="BH55" i="9"/>
  <c r="AJ54" i="9"/>
  <c r="BU55" i="9"/>
  <c r="AC55" i="9"/>
  <c r="AI55" i="9"/>
  <c r="U84" i="13"/>
  <c r="O104" i="13"/>
  <c r="AF17" i="13"/>
  <c r="P51" i="13"/>
  <c r="AE17" i="13"/>
  <c r="AB17" i="13"/>
  <c r="J15" i="4" a="1"/>
  <c r="J15" i="4" s="1"/>
  <c r="K15" i="4" a="1"/>
  <c r="K15" i="4" s="1"/>
  <c r="P86" i="13"/>
  <c r="O30" i="13"/>
  <c r="P60" i="13"/>
  <c r="P61" i="13" s="1"/>
  <c r="P76" i="13"/>
  <c r="P94" i="13" s="1"/>
  <c r="P53" i="13" s="1"/>
  <c r="P54" i="13" s="1"/>
  <c r="U76" i="13"/>
  <c r="U80" i="13"/>
  <c r="P30" i="13"/>
  <c r="O60" i="13"/>
  <c r="O61" i="13" s="1"/>
  <c r="P82" i="13"/>
  <c r="P31" i="13"/>
  <c r="O109" i="13"/>
  <c r="AW18" i="13"/>
  <c r="BR17" i="13"/>
  <c r="O107" i="12"/>
  <c r="O105" i="12"/>
  <c r="O103" i="12"/>
  <c r="P89" i="12"/>
  <c r="P88" i="12"/>
  <c r="U86" i="12"/>
  <c r="P85" i="12"/>
  <c r="P84" i="12"/>
  <c r="P86" i="12" s="1"/>
  <c r="U83" i="12"/>
  <c r="U82" i="12"/>
  <c r="P81" i="12"/>
  <c r="P80" i="12"/>
  <c r="U79" i="12"/>
  <c r="U78" i="12"/>
  <c r="P78" i="12"/>
  <c r="P92" i="12" s="1"/>
  <c r="U75" i="12"/>
  <c r="P75" i="12"/>
  <c r="U74" i="12"/>
  <c r="P74" i="12"/>
  <c r="P67" i="12"/>
  <c r="O108" i="12" s="1"/>
  <c r="P52" i="12"/>
  <c r="F36" i="12"/>
  <c r="P36" i="12" s="1"/>
  <c r="F34" i="12"/>
  <c r="E34" i="12"/>
  <c r="O29" i="12"/>
  <c r="F28" i="12"/>
  <c r="P29" i="12" s="1"/>
  <c r="O22" i="12"/>
  <c r="BF17" i="12" s="1"/>
  <c r="BF18" i="12" s="1"/>
  <c r="BF19" i="12" s="1"/>
  <c r="BF20" i="12" s="1"/>
  <c r="BF21" i="12" s="1"/>
  <c r="BF22" i="12" s="1"/>
  <c r="BF23" i="12" s="1"/>
  <c r="BF24" i="12" s="1"/>
  <c r="BF25" i="12" s="1"/>
  <c r="BF26" i="12" s="1"/>
  <c r="BF27" i="12" s="1"/>
  <c r="BF28" i="12" s="1"/>
  <c r="BF29" i="12" s="1"/>
  <c r="BF30" i="12" s="1"/>
  <c r="BF31" i="12" s="1"/>
  <c r="BF32" i="12" s="1"/>
  <c r="BF33" i="12" s="1"/>
  <c r="BF34" i="12" s="1"/>
  <c r="BF35" i="12" s="1"/>
  <c r="BF36" i="12" s="1"/>
  <c r="BF37" i="12" s="1"/>
  <c r="BF38" i="12" s="1"/>
  <c r="BF39" i="12" s="1"/>
  <c r="BF40" i="12" s="1"/>
  <c r="BF41" i="12" s="1"/>
  <c r="BF42" i="12" s="1"/>
  <c r="BF43" i="12" s="1"/>
  <c r="BF44" i="12" s="1"/>
  <c r="BF45" i="12" s="1"/>
  <c r="BF46" i="12" s="1"/>
  <c r="BP17" i="12"/>
  <c r="BO17" i="12"/>
  <c r="BM17" i="12"/>
  <c r="AY17" i="12"/>
  <c r="AT17" i="12"/>
  <c r="AQ17" i="12"/>
  <c r="AP17" i="12"/>
  <c r="AO17" i="12"/>
  <c r="AD17" i="12"/>
  <c r="AA17" i="12"/>
  <c r="Z17" i="12"/>
  <c r="Y17" i="12"/>
  <c r="V17" i="12"/>
  <c r="F19" i="12"/>
  <c r="F20" i="12" s="1"/>
  <c r="F21" i="12" s="1"/>
  <c r="O16" i="12"/>
  <c r="O107" i="11"/>
  <c r="O105" i="11"/>
  <c r="O103" i="11"/>
  <c r="P89" i="11"/>
  <c r="P88" i="11"/>
  <c r="U86" i="11"/>
  <c r="P85" i="11"/>
  <c r="P84" i="11"/>
  <c r="U83" i="11"/>
  <c r="U82" i="11"/>
  <c r="P81" i="11"/>
  <c r="P80" i="11"/>
  <c r="U79" i="11"/>
  <c r="U78" i="11"/>
  <c r="P78" i="11"/>
  <c r="P92" i="11" s="1"/>
  <c r="U75" i="11"/>
  <c r="P75" i="11"/>
  <c r="U74" i="11"/>
  <c r="P74" i="11"/>
  <c r="P67" i="11"/>
  <c r="O108" i="11" s="1"/>
  <c r="P52" i="11"/>
  <c r="P36" i="11"/>
  <c r="F34" i="11"/>
  <c r="E34" i="11"/>
  <c r="O29" i="11"/>
  <c r="J12" i="4" s="1" a="1"/>
  <c r="J12" i="4" s="1"/>
  <c r="F28" i="11"/>
  <c r="P29" i="11" s="1"/>
  <c r="O22" i="11"/>
  <c r="BF17" i="11" s="1"/>
  <c r="BF18" i="11" s="1"/>
  <c r="BF19" i="11" s="1"/>
  <c r="BF20" i="11" s="1"/>
  <c r="BF21" i="11" s="1"/>
  <c r="BF22" i="11" s="1"/>
  <c r="BF23" i="11" s="1"/>
  <c r="BF24" i="11" s="1"/>
  <c r="BF25" i="11" s="1"/>
  <c r="BF26" i="11" s="1"/>
  <c r="BF27" i="11" s="1"/>
  <c r="BF28" i="11" s="1"/>
  <c r="BF29" i="11" s="1"/>
  <c r="BF30" i="11" s="1"/>
  <c r="BF31" i="11" s="1"/>
  <c r="BF32" i="11" s="1"/>
  <c r="BF33" i="11" s="1"/>
  <c r="BF34" i="11" s="1"/>
  <c r="BF35" i="11" s="1"/>
  <c r="BF36" i="11" s="1"/>
  <c r="BF37" i="11" s="1"/>
  <c r="BF38" i="11" s="1"/>
  <c r="BF39" i="11" s="1"/>
  <c r="BF40" i="11" s="1"/>
  <c r="BF41" i="11" s="1"/>
  <c r="BF42" i="11" s="1"/>
  <c r="BF43" i="11" s="1"/>
  <c r="BF44" i="11" s="1"/>
  <c r="BF45" i="11" s="1"/>
  <c r="BF46" i="11" s="1"/>
  <c r="BP17" i="11"/>
  <c r="BO17" i="11"/>
  <c r="BM17" i="11"/>
  <c r="BL17" i="11"/>
  <c r="BK17" i="11"/>
  <c r="BH17" i="11"/>
  <c r="V17" i="11"/>
  <c r="F19" i="11"/>
  <c r="F20" i="11" s="1"/>
  <c r="F21" i="11" s="1"/>
  <c r="O16" i="11"/>
  <c r="O107" i="10"/>
  <c r="O105" i="10"/>
  <c r="O103" i="10"/>
  <c r="P90" i="10"/>
  <c r="P89" i="10"/>
  <c r="U87" i="10"/>
  <c r="P86" i="10"/>
  <c r="P85" i="10"/>
  <c r="U84" i="10"/>
  <c r="U83" i="10"/>
  <c r="P82" i="10"/>
  <c r="P81" i="10"/>
  <c r="U80" i="10"/>
  <c r="U79" i="10"/>
  <c r="P79" i="10"/>
  <c r="P93" i="10" s="1"/>
  <c r="P50" i="10" s="1"/>
  <c r="U76" i="10"/>
  <c r="P76" i="10"/>
  <c r="U75" i="10"/>
  <c r="P75" i="10"/>
  <c r="P67" i="10"/>
  <c r="P52" i="10"/>
  <c r="P41" i="10"/>
  <c r="P43" i="10" s="1"/>
  <c r="H14" i="4" s="1" a="1"/>
  <c r="H14" i="4" s="1"/>
  <c r="F36" i="10"/>
  <c r="F34" i="10"/>
  <c r="E34" i="10"/>
  <c r="O29" i="10"/>
  <c r="M12" i="4" s="1" a="1"/>
  <c r="M12" i="4" s="1"/>
  <c r="F28" i="10"/>
  <c r="P29" i="10" s="1"/>
  <c r="N12" i="4" s="1" a="1"/>
  <c r="N12" i="4" s="1"/>
  <c r="O22" i="10"/>
  <c r="BF17" i="10" s="1"/>
  <c r="BF18" i="10" s="1"/>
  <c r="BF19" i="10" s="1"/>
  <c r="BF20" i="10" s="1"/>
  <c r="BF21" i="10" s="1"/>
  <c r="BF22" i="10" s="1"/>
  <c r="BF23" i="10" s="1"/>
  <c r="BF24" i="10" s="1"/>
  <c r="BF25" i="10" s="1"/>
  <c r="BF26" i="10" s="1"/>
  <c r="BF27" i="10" s="1"/>
  <c r="BF28" i="10" s="1"/>
  <c r="BF29" i="10" s="1"/>
  <c r="BF30" i="10" s="1"/>
  <c r="BF31" i="10" s="1"/>
  <c r="BF32" i="10" s="1"/>
  <c r="BF33" i="10" s="1"/>
  <c r="BF34" i="10" s="1"/>
  <c r="BF35" i="10" s="1"/>
  <c r="BF36" i="10" s="1"/>
  <c r="BF37" i="10" s="1"/>
  <c r="BF38" i="10" s="1"/>
  <c r="BF39" i="10" s="1"/>
  <c r="BF40" i="10" s="1"/>
  <c r="BF41" i="10" s="1"/>
  <c r="BF42" i="10" s="1"/>
  <c r="BF43" i="10" s="1"/>
  <c r="BF44" i="10" s="1"/>
  <c r="BF45" i="10" s="1"/>
  <c r="BF46" i="10" s="1"/>
  <c r="BF47" i="10" s="1"/>
  <c r="BF48" i="10" s="1"/>
  <c r="BF49" i="10" s="1"/>
  <c r="BF50" i="10" s="1"/>
  <c r="BF51" i="10" s="1"/>
  <c r="BF52" i="10" s="1"/>
  <c r="BF53" i="10" s="1"/>
  <c r="BF54" i="10" s="1"/>
  <c r="BF55" i="10" s="1"/>
  <c r="BF56" i="10" s="1"/>
  <c r="BO17" i="10"/>
  <c r="BM17" i="10"/>
  <c r="BL17" i="10"/>
  <c r="BK17" i="10"/>
  <c r="BH17" i="10"/>
  <c r="V17" i="10"/>
  <c r="F19" i="10"/>
  <c r="F20" i="10" s="1"/>
  <c r="F21" i="10" s="1"/>
  <c r="O16" i="10"/>
  <c r="AX17" i="10" s="1"/>
  <c r="O107" i="9"/>
  <c r="O105" i="9"/>
  <c r="O103" i="9"/>
  <c r="P89" i="9"/>
  <c r="P88" i="9"/>
  <c r="U86" i="9"/>
  <c r="P85" i="9"/>
  <c r="P84" i="9"/>
  <c r="U83" i="9"/>
  <c r="U82" i="9"/>
  <c r="P81" i="9"/>
  <c r="P80" i="9"/>
  <c r="U79" i="9"/>
  <c r="U78" i="9"/>
  <c r="P78" i="9"/>
  <c r="P92" i="9" s="1"/>
  <c r="U75" i="9"/>
  <c r="P75" i="9"/>
  <c r="U74" i="9"/>
  <c r="P74" i="9"/>
  <c r="P67" i="9"/>
  <c r="P52" i="9"/>
  <c r="P49" i="9"/>
  <c r="P48" i="9"/>
  <c r="P41" i="9"/>
  <c r="P43" i="9" s="1"/>
  <c r="P44" i="9" s="1"/>
  <c r="F36" i="9"/>
  <c r="F34" i="9"/>
  <c r="E34" i="9"/>
  <c r="O29" i="9"/>
  <c r="F28" i="9"/>
  <c r="P29" i="9" s="1"/>
  <c r="O22" i="9"/>
  <c r="BF17" i="9" s="1"/>
  <c r="BF18" i="9" s="1"/>
  <c r="BF19" i="9" s="1"/>
  <c r="BF20" i="9" s="1"/>
  <c r="BF21" i="9" s="1"/>
  <c r="BF22" i="9" s="1"/>
  <c r="BF23" i="9" s="1"/>
  <c r="BF24" i="9" s="1"/>
  <c r="BF25" i="9" s="1"/>
  <c r="BF26" i="9" s="1"/>
  <c r="BF27" i="9" s="1"/>
  <c r="BF28" i="9" s="1"/>
  <c r="BF29" i="9" s="1"/>
  <c r="BF30" i="9" s="1"/>
  <c r="BF31" i="9" s="1"/>
  <c r="BF32" i="9" s="1"/>
  <c r="BF33" i="9" s="1"/>
  <c r="BF34" i="9" s="1"/>
  <c r="BF35" i="9" s="1"/>
  <c r="BF36" i="9" s="1"/>
  <c r="BF37" i="9" s="1"/>
  <c r="BF38" i="9" s="1"/>
  <c r="BF39" i="9" s="1"/>
  <c r="BF40" i="9" s="1"/>
  <c r="BF41" i="9" s="1"/>
  <c r="BF42" i="9" s="1"/>
  <c r="BF43" i="9" s="1"/>
  <c r="BF44" i="9" s="1"/>
  <c r="BF45" i="9" s="1"/>
  <c r="BF46" i="9" s="1"/>
  <c r="BP17" i="9"/>
  <c r="BO17" i="9"/>
  <c r="BM17" i="9"/>
  <c r="BK17" i="9"/>
  <c r="BH17" i="9"/>
  <c r="V17" i="9"/>
  <c r="F20" i="9"/>
  <c r="F21" i="9" s="1"/>
  <c r="O16" i="9"/>
  <c r="AC17" i="13" l="1"/>
  <c r="AG18" i="12"/>
  <c r="BL17" i="12"/>
  <c r="AU47" i="13"/>
  <c r="AU48" i="13"/>
  <c r="AV48" i="13"/>
  <c r="BJ48" i="13" s="1"/>
  <c r="AV47" i="13"/>
  <c r="BJ47" i="13" s="1"/>
  <c r="AU49" i="13"/>
  <c r="AV49" i="13"/>
  <c r="BJ49" i="13" s="1"/>
  <c r="AU50" i="13"/>
  <c r="AV50" i="13"/>
  <c r="BJ50" i="13" s="1"/>
  <c r="AU51" i="13"/>
  <c r="AV51" i="13"/>
  <c r="BJ51" i="13" s="1"/>
  <c r="AU52" i="13"/>
  <c r="AV52" i="13"/>
  <c r="BJ52" i="13" s="1"/>
  <c r="AU53" i="13"/>
  <c r="AV53" i="13"/>
  <c r="BJ53" i="13" s="1"/>
  <c r="AV54" i="13"/>
  <c r="BJ54" i="13" s="1"/>
  <c r="AU54" i="13"/>
  <c r="AU55" i="13"/>
  <c r="AV55" i="13"/>
  <c r="BJ55" i="13" s="1"/>
  <c r="AU56" i="13"/>
  <c r="AV56" i="13"/>
  <c r="BJ56" i="13" s="1"/>
  <c r="BH17" i="12"/>
  <c r="BU56" i="12"/>
  <c r="AS56" i="12"/>
  <c r="AE56" i="12"/>
  <c r="AI56" i="12" s="1"/>
  <c r="AB56" i="12"/>
  <c r="AC56" i="12" s="1"/>
  <c r="AJ55" i="12"/>
  <c r="AM55" i="12" s="1"/>
  <c r="BH56" i="12"/>
  <c r="AI56" i="11"/>
  <c r="AM55" i="11"/>
  <c r="AC56" i="13"/>
  <c r="BL56" i="9"/>
  <c r="BK56" i="9"/>
  <c r="BH56" i="9"/>
  <c r="AC56" i="9"/>
  <c r="AJ55" i="9"/>
  <c r="AM55" i="9" s="1"/>
  <c r="AB56" i="9"/>
  <c r="AE56" i="9"/>
  <c r="AI56" i="9" s="1"/>
  <c r="AM54" i="9"/>
  <c r="BU56" i="9"/>
  <c r="AS56" i="9"/>
  <c r="AI17" i="13"/>
  <c r="U76" i="11"/>
  <c r="O108" i="10"/>
  <c r="O109" i="10" s="1"/>
  <c r="U76" i="12"/>
  <c r="P44" i="10"/>
  <c r="P50" i="13"/>
  <c r="AF18" i="13"/>
  <c r="U84" i="9"/>
  <c r="P90" i="12"/>
  <c r="U87" i="12" s="1"/>
  <c r="P12" i="4" a="1"/>
  <c r="P12" i="4" s="1"/>
  <c r="S12" i="4" a="1"/>
  <c r="S12" i="4" s="1"/>
  <c r="AF17" i="12"/>
  <c r="AF17" i="10"/>
  <c r="BT17" i="9" a="1"/>
  <c r="BT17" i="9" s="1"/>
  <c r="BR17" i="11"/>
  <c r="AF17" i="11"/>
  <c r="Q12" i="4" a="1"/>
  <c r="Q12" i="4" s="1"/>
  <c r="T12" i="4" a="1"/>
  <c r="T12" i="4" s="1"/>
  <c r="U80" i="11"/>
  <c r="T29" i="4" a="1"/>
  <c r="T29" i="4" s="1"/>
  <c r="T30" i="4" s="1"/>
  <c r="Q29" i="4" a="1"/>
  <c r="Q29" i="4" s="1"/>
  <c r="Q30" i="4" s="1"/>
  <c r="K29" i="4" a="1"/>
  <c r="K29" i="4" s="1"/>
  <c r="K30" i="4" s="1"/>
  <c r="H29" i="4" a="1"/>
  <c r="H29" i="4" s="1"/>
  <c r="H30" i="4" s="1"/>
  <c r="N29" i="4" a="1"/>
  <c r="N29" i="4" s="1"/>
  <c r="N30" i="4" s="1"/>
  <c r="H12" i="4" a="1"/>
  <c r="H12" i="4" s="1"/>
  <c r="G12" i="4" a="1"/>
  <c r="G12" i="4" s="1"/>
  <c r="P31" i="11"/>
  <c r="K12" i="4" a="1"/>
  <c r="K12" i="4" s="1"/>
  <c r="AJ17" i="13"/>
  <c r="AB17" i="9"/>
  <c r="AE17" i="9"/>
  <c r="P36" i="9"/>
  <c r="AU17" i="13"/>
  <c r="AQ18" i="13"/>
  <c r="Y18" i="13"/>
  <c r="AY18" i="13"/>
  <c r="AT18" i="13"/>
  <c r="AP18" i="13"/>
  <c r="AO18" i="13"/>
  <c r="Z18" i="13"/>
  <c r="AA18" i="13"/>
  <c r="AD18" i="13"/>
  <c r="AV18" i="13"/>
  <c r="BJ18" i="13" s="1"/>
  <c r="O62" i="13"/>
  <c r="AU18" i="13"/>
  <c r="BI18" i="13" s="1"/>
  <c r="O31" i="13"/>
  <c r="O32" i="13" s="1"/>
  <c r="P93" i="13"/>
  <c r="P32" i="13"/>
  <c r="AV17" i="13"/>
  <c r="AE17" i="11"/>
  <c r="AB17" i="11"/>
  <c r="AC17" i="11" s="1"/>
  <c r="P60" i="11"/>
  <c r="P61" i="11" s="1"/>
  <c r="K21" i="4" s="1" a="1"/>
  <c r="K21" i="4" s="1"/>
  <c r="O60" i="11"/>
  <c r="O61" i="11" s="1"/>
  <c r="J21" i="4" s="1" a="1"/>
  <c r="J21" i="4" s="1"/>
  <c r="P51" i="11"/>
  <c r="U84" i="11"/>
  <c r="P30" i="12"/>
  <c r="P76" i="12"/>
  <c r="BA18" i="12"/>
  <c r="BA17" i="12"/>
  <c r="O30" i="12"/>
  <c r="O31" i="12" s="1"/>
  <c r="O32" i="12" s="1"/>
  <c r="P51" i="12"/>
  <c r="AE17" i="10"/>
  <c r="AB17" i="10"/>
  <c r="P30" i="10"/>
  <c r="O30" i="10"/>
  <c r="P36" i="10"/>
  <c r="P82" i="12"/>
  <c r="P50" i="12" s="1"/>
  <c r="O109" i="12"/>
  <c r="U84" i="12"/>
  <c r="U80" i="12"/>
  <c r="U93" i="12" s="1"/>
  <c r="AR17" i="12" s="1"/>
  <c r="O109" i="11"/>
  <c r="O30" i="11"/>
  <c r="P76" i="11"/>
  <c r="F68" i="13"/>
  <c r="P62" i="13"/>
  <c r="U92" i="13"/>
  <c r="U93" i="13"/>
  <c r="O60" i="10"/>
  <c r="P77" i="10"/>
  <c r="P51" i="10"/>
  <c r="BQ53" i="10" s="1"/>
  <c r="U85" i="10"/>
  <c r="U77" i="10"/>
  <c r="U81" i="10"/>
  <c r="BT17" i="13"/>
  <c r="AW19" i="13"/>
  <c r="BM18" i="13"/>
  <c r="BO18" i="13"/>
  <c r="BT18" i="13"/>
  <c r="V18" i="13"/>
  <c r="BP18" i="13"/>
  <c r="BR18" i="13"/>
  <c r="O104" i="12"/>
  <c r="BR17" i="12"/>
  <c r="AW18" i="12"/>
  <c r="P60" i="12"/>
  <c r="P61" i="12" s="1"/>
  <c r="P31" i="12"/>
  <c r="BK17" i="12"/>
  <c r="AE17" i="12"/>
  <c r="AB17" i="12"/>
  <c r="O60" i="12"/>
  <c r="P82" i="11"/>
  <c r="P86" i="11"/>
  <c r="P90" i="11"/>
  <c r="U87" i="11" s="1"/>
  <c r="O104" i="11"/>
  <c r="AW18" i="11"/>
  <c r="P30" i="11"/>
  <c r="P91" i="10"/>
  <c r="U88" i="10" s="1"/>
  <c r="P83" i="10"/>
  <c r="P87" i="10"/>
  <c r="O104" i="10"/>
  <c r="BR17" i="10"/>
  <c r="P60" i="10"/>
  <c r="P61" i="10" s="1"/>
  <c r="N21" i="4" s="1" a="1"/>
  <c r="N21" i="4" s="1"/>
  <c r="P31" i="10"/>
  <c r="P76" i="9"/>
  <c r="U80" i="9"/>
  <c r="P82" i="9"/>
  <c r="U76" i="9"/>
  <c r="P90" i="9"/>
  <c r="U87" i="9" s="1"/>
  <c r="P86" i="9"/>
  <c r="O104" i="9"/>
  <c r="BR17" i="9"/>
  <c r="AW18" i="9"/>
  <c r="O60" i="9"/>
  <c r="O30" i="9"/>
  <c r="P31" i="9"/>
  <c r="P30" i="9"/>
  <c r="P60" i="9"/>
  <c r="P61" i="9" s="1"/>
  <c r="O108" i="9"/>
  <c r="O109" i="9" s="1"/>
  <c r="BQ28" i="10" l="1"/>
  <c r="BQ40" i="10"/>
  <c r="BQ46" i="10"/>
  <c r="BX27" i="10"/>
  <c r="BX48" i="10"/>
  <c r="BX18" i="10"/>
  <c r="BX43" i="10"/>
  <c r="BQ52" i="10"/>
  <c r="BQ55" i="10"/>
  <c r="BX22" i="10"/>
  <c r="BX39" i="10"/>
  <c r="BQ32" i="10"/>
  <c r="BX30" i="10"/>
  <c r="BX55" i="10"/>
  <c r="BX17" i="10"/>
  <c r="BQ45" i="10"/>
  <c r="BQ30" i="10"/>
  <c r="BX46" i="10"/>
  <c r="BX51" i="10"/>
  <c r="BX25" i="10"/>
  <c r="BX42" i="10"/>
  <c r="BQ27" i="10"/>
  <c r="BQ37" i="10"/>
  <c r="BQ34" i="10"/>
  <c r="BQ31" i="10"/>
  <c r="BQ42" i="10"/>
  <c r="BQ23" i="10"/>
  <c r="BX49" i="10"/>
  <c r="BX54" i="10"/>
  <c r="BQ39" i="10"/>
  <c r="BX21" i="10"/>
  <c r="BX19" i="10"/>
  <c r="BX36" i="10"/>
  <c r="BX23" i="10"/>
  <c r="BQ35" i="10"/>
  <c r="BQ33" i="10"/>
  <c r="BQ26" i="10"/>
  <c r="BQ51" i="10"/>
  <c r="BX33" i="10"/>
  <c r="BQ25" i="10"/>
  <c r="BQ56" i="10"/>
  <c r="BX47" i="10"/>
  <c r="BQ47" i="10"/>
  <c r="BX28" i="10"/>
  <c r="BQ38" i="10"/>
  <c r="BX41" i="10"/>
  <c r="BX45" i="10"/>
  <c r="BQ48" i="10"/>
  <c r="BQ21" i="10"/>
  <c r="BQ43" i="10"/>
  <c r="BX34" i="10"/>
  <c r="BX40" i="10"/>
  <c r="BQ50" i="10"/>
  <c r="BX20" i="10"/>
  <c r="BQ17" i="10"/>
  <c r="BX37" i="10"/>
  <c r="BX26" i="10"/>
  <c r="BX24" i="10"/>
  <c r="BQ18" i="10"/>
  <c r="BX52" i="10"/>
  <c r="BX29" i="10"/>
  <c r="BX32" i="10"/>
  <c r="BQ29" i="10"/>
  <c r="BQ19" i="10"/>
  <c r="BX38" i="10"/>
  <c r="BQ20" i="10"/>
  <c r="BQ54" i="10"/>
  <c r="BQ24" i="10"/>
  <c r="BX53" i="10"/>
  <c r="BX44" i="10"/>
  <c r="BQ41" i="10"/>
  <c r="BQ22" i="10"/>
  <c r="BX31" i="10"/>
  <c r="BX50" i="10"/>
  <c r="BQ44" i="10"/>
  <c r="BX35" i="10"/>
  <c r="BQ36" i="10"/>
  <c r="BQ49" i="10"/>
  <c r="BX56" i="10"/>
  <c r="AU48" i="11"/>
  <c r="BI48" i="11" s="1"/>
  <c r="AV47" i="11"/>
  <c r="BJ47" i="11" s="1"/>
  <c r="AV48" i="11"/>
  <c r="AU47" i="11"/>
  <c r="AU49" i="11"/>
  <c r="AV49" i="11"/>
  <c r="BJ49" i="11" s="1"/>
  <c r="AU50" i="11"/>
  <c r="AV50" i="11"/>
  <c r="BJ50" i="11" s="1"/>
  <c r="AU51" i="11"/>
  <c r="AV51" i="11"/>
  <c r="BJ51" i="11" s="1"/>
  <c r="AU52" i="11"/>
  <c r="AV52" i="11"/>
  <c r="BJ52" i="11" s="1"/>
  <c r="AU53" i="11"/>
  <c r="AV53" i="11"/>
  <c r="BJ53" i="11" s="1"/>
  <c r="AU54" i="11"/>
  <c r="AV54" i="11"/>
  <c r="BJ54" i="11" s="1"/>
  <c r="AU55" i="11"/>
  <c r="AV55" i="11"/>
  <c r="BJ55" i="11" s="1"/>
  <c r="AU56" i="11"/>
  <c r="AV56" i="11"/>
  <c r="BJ56" i="11" s="1"/>
  <c r="AC17" i="9"/>
  <c r="AC17" i="10"/>
  <c r="BL18" i="13"/>
  <c r="AJ56" i="12"/>
  <c r="AM56" i="12" s="1"/>
  <c r="AS17" i="12"/>
  <c r="E59" i="13"/>
  <c r="AG17" i="13"/>
  <c r="AG18" i="13" s="1"/>
  <c r="F4" i="2" a="1"/>
  <c r="F4" i="2" s="1"/>
  <c r="F59" i="13"/>
  <c r="AZ17" i="13"/>
  <c r="AZ18" i="13" s="1"/>
  <c r="BI51" i="13"/>
  <c r="BN51" i="13" s="1"/>
  <c r="BV51" i="13" s="1"/>
  <c r="BY51" i="13" s="1"/>
  <c r="BB51" i="13"/>
  <c r="BC51" i="13" s="1"/>
  <c r="BD51" i="13" s="1"/>
  <c r="BI55" i="13"/>
  <c r="BN55" i="13" s="1"/>
  <c r="BV55" i="13" s="1"/>
  <c r="BY55" i="13" s="1"/>
  <c r="BB55" i="13"/>
  <c r="BC55" i="13" s="1"/>
  <c r="BD55" i="13" s="1"/>
  <c r="BI53" i="13"/>
  <c r="BN53" i="13" s="1"/>
  <c r="BV53" i="13" s="1"/>
  <c r="BY53" i="13" s="1"/>
  <c r="BB53" i="13"/>
  <c r="BC53" i="13" s="1"/>
  <c r="BD53" i="13" s="1"/>
  <c r="BI54" i="13"/>
  <c r="BN54" i="13" s="1"/>
  <c r="BV54" i="13" s="1"/>
  <c r="BY54" i="13" s="1"/>
  <c r="BB54" i="13"/>
  <c r="BC54" i="13" s="1"/>
  <c r="BD54" i="13" s="1"/>
  <c r="BI50" i="13"/>
  <c r="BN50" i="13" s="1"/>
  <c r="BV50" i="13" s="1"/>
  <c r="BY50" i="13" s="1"/>
  <c r="BB50" i="13"/>
  <c r="BC50" i="13" s="1"/>
  <c r="BD50" i="13" s="1"/>
  <c r="BI48" i="13"/>
  <c r="BN48" i="13" s="1"/>
  <c r="BV48" i="13" s="1"/>
  <c r="BY48" i="13" s="1"/>
  <c r="BB48" i="13"/>
  <c r="BC48" i="13" s="1"/>
  <c r="BD48" i="13" s="1"/>
  <c r="BA19" i="13"/>
  <c r="BI47" i="13"/>
  <c r="BN47" i="13" s="1"/>
  <c r="BV47" i="13" s="1"/>
  <c r="BY47" i="13" s="1"/>
  <c r="BB47" i="13"/>
  <c r="BC47" i="13" s="1"/>
  <c r="BD47" i="13" s="1"/>
  <c r="BI17" i="13"/>
  <c r="BI52" i="13"/>
  <c r="BN52" i="13" s="1"/>
  <c r="BV52" i="13" s="1"/>
  <c r="BY52" i="13" s="1"/>
  <c r="BB52" i="13"/>
  <c r="BC52" i="13" s="1"/>
  <c r="BD52" i="13" s="1"/>
  <c r="BI49" i="13"/>
  <c r="BN49" i="13" s="1"/>
  <c r="BV49" i="13" s="1"/>
  <c r="BY49" i="13" s="1"/>
  <c r="BB49" i="13"/>
  <c r="BC49" i="13" s="1"/>
  <c r="BD49" i="13" s="1"/>
  <c r="P62" i="12"/>
  <c r="AU47" i="12"/>
  <c r="AV47" i="12"/>
  <c r="BJ47" i="12" s="1"/>
  <c r="AU48" i="12"/>
  <c r="AV48" i="12"/>
  <c r="BJ48" i="12" s="1"/>
  <c r="AU49" i="12"/>
  <c r="AV49" i="12"/>
  <c r="BJ49" i="12" s="1"/>
  <c r="AU50" i="12"/>
  <c r="AV50" i="12"/>
  <c r="BJ50" i="12" s="1"/>
  <c r="AV51" i="12"/>
  <c r="BJ51" i="12" s="1"/>
  <c r="AU51" i="12"/>
  <c r="AV52" i="12"/>
  <c r="BJ52" i="12" s="1"/>
  <c r="AU52" i="12"/>
  <c r="AU53" i="12"/>
  <c r="AV53" i="12"/>
  <c r="BJ53" i="12" s="1"/>
  <c r="AU54" i="12"/>
  <c r="AV54" i="12"/>
  <c r="BJ54" i="12" s="1"/>
  <c r="AU55" i="12"/>
  <c r="AV55" i="12"/>
  <c r="BJ55" i="12" s="1"/>
  <c r="AU56" i="12"/>
  <c r="AV56" i="12"/>
  <c r="BJ56" i="12" s="1"/>
  <c r="BI56" i="13"/>
  <c r="BN56" i="13" s="1"/>
  <c r="BV56" i="13" s="1"/>
  <c r="BY56" i="13" s="1"/>
  <c r="BB56" i="13"/>
  <c r="BC56" i="13" s="1"/>
  <c r="BD56" i="13" s="1"/>
  <c r="AJ56" i="11"/>
  <c r="AJ56" i="13"/>
  <c r="AJ56" i="9"/>
  <c r="O61" i="9"/>
  <c r="O62" i="9" s="1"/>
  <c r="P64" i="13"/>
  <c r="AI17" i="9"/>
  <c r="AW18" i="10"/>
  <c r="AX18" i="10"/>
  <c r="O61" i="10"/>
  <c r="O62" i="10" s="1"/>
  <c r="AI17" i="12"/>
  <c r="AI17" i="10"/>
  <c r="P50" i="11"/>
  <c r="P50" i="9"/>
  <c r="P51" i="9" s="1"/>
  <c r="U93" i="9"/>
  <c r="AR18" i="9" s="1"/>
  <c r="AF18" i="10"/>
  <c r="T15" i="4" a="1"/>
  <c r="T15" i="4" s="1"/>
  <c r="U92" i="9"/>
  <c r="M21" i="4" a="1"/>
  <c r="M21" i="4" s="1"/>
  <c r="AI17" i="11"/>
  <c r="AJ17" i="11" s="1"/>
  <c r="AF18" i="11"/>
  <c r="P94" i="12"/>
  <c r="BT17" i="12" s="1"/>
  <c r="P15" i="4" a="1"/>
  <c r="P15" i="4" s="1"/>
  <c r="BT18" i="9" a="1"/>
  <c r="BT18" i="9" s="1"/>
  <c r="Q21" i="4" a="1"/>
  <c r="Q21" i="4" s="1"/>
  <c r="T21" i="4" a="1"/>
  <c r="T21" i="4" s="1"/>
  <c r="AF18" i="12"/>
  <c r="P93" i="9"/>
  <c r="F68" i="11"/>
  <c r="AF19" i="13"/>
  <c r="U93" i="11"/>
  <c r="AR17" i="11" s="1"/>
  <c r="AS17" i="11" s="1"/>
  <c r="H21" i="4" a="1"/>
  <c r="H21" i="4" s="1"/>
  <c r="M15" i="4" a="1"/>
  <c r="M15" i="4" s="1"/>
  <c r="G15" i="4" a="1"/>
  <c r="G15" i="4" s="1"/>
  <c r="P94" i="9"/>
  <c r="P53" i="9" s="1"/>
  <c r="P54" i="9" s="1"/>
  <c r="AM17" i="13"/>
  <c r="O63" i="13"/>
  <c r="O64" i="13"/>
  <c r="BB17" i="13"/>
  <c r="Q15" i="4" a="1"/>
  <c r="Q15" i="4" s="1"/>
  <c r="AO18" i="9"/>
  <c r="AD18" i="9"/>
  <c r="AA18" i="9"/>
  <c r="Z18" i="9"/>
  <c r="Y18" i="9"/>
  <c r="AY18" i="9"/>
  <c r="AT18" i="9"/>
  <c r="AP18" i="9"/>
  <c r="AQ18" i="9"/>
  <c r="BJ17" i="13"/>
  <c r="AR19" i="13"/>
  <c r="AE18" i="13"/>
  <c r="AB18" i="13"/>
  <c r="AY19" i="13"/>
  <c r="BL19" i="13" s="1"/>
  <c r="BK19" i="13"/>
  <c r="Y19" i="13"/>
  <c r="AD19" i="13"/>
  <c r="AV19" i="13"/>
  <c r="BJ19" i="13" s="1"/>
  <c r="AU19" i="13"/>
  <c r="AT19" i="13"/>
  <c r="AO19" i="13"/>
  <c r="AR17" i="13"/>
  <c r="AR18" i="13"/>
  <c r="AS18" i="13" s="1"/>
  <c r="AA19" i="13"/>
  <c r="AQ19" i="13"/>
  <c r="BB18" i="13"/>
  <c r="Y18" i="11"/>
  <c r="AY18" i="11"/>
  <c r="AO18" i="11"/>
  <c r="AT18" i="11"/>
  <c r="AQ18" i="11"/>
  <c r="AP18" i="11"/>
  <c r="AD18" i="11"/>
  <c r="Z18" i="11"/>
  <c r="AA18" i="11"/>
  <c r="U92" i="11"/>
  <c r="AV18" i="11"/>
  <c r="AU17" i="11"/>
  <c r="BI17" i="11" s="1"/>
  <c r="O31" i="11"/>
  <c r="O32" i="11" s="1"/>
  <c r="AV17" i="11"/>
  <c r="BJ17" i="11" s="1"/>
  <c r="AU18" i="11"/>
  <c r="O62" i="11"/>
  <c r="P93" i="12"/>
  <c r="F59" i="12"/>
  <c r="AD18" i="10"/>
  <c r="Z18" i="10"/>
  <c r="AA18" i="10"/>
  <c r="AY18" i="10"/>
  <c r="AT18" i="10"/>
  <c r="AQ18" i="10"/>
  <c r="AO18" i="10"/>
  <c r="Y18" i="10"/>
  <c r="AP18" i="10"/>
  <c r="U94" i="10"/>
  <c r="AR18" i="10" s="1"/>
  <c r="O31" i="10"/>
  <c r="O32" i="10" s="1"/>
  <c r="P62" i="10"/>
  <c r="AZ17" i="10" s="1"/>
  <c r="AV18" i="10"/>
  <c r="BJ18" i="10" s="1"/>
  <c r="AV17" i="10"/>
  <c r="AU18" i="10"/>
  <c r="AU17" i="10"/>
  <c r="U92" i="12"/>
  <c r="P93" i="11"/>
  <c r="P63" i="13"/>
  <c r="P95" i="10"/>
  <c r="BT17" i="10" s="1"/>
  <c r="U93" i="10"/>
  <c r="P94" i="10"/>
  <c r="BH18" i="13"/>
  <c r="BK18" i="13"/>
  <c r="BU17" i="13"/>
  <c r="BU18" i="13"/>
  <c r="BT19" i="13"/>
  <c r="BO19" i="13"/>
  <c r="AW20" i="13"/>
  <c r="BM19" i="13"/>
  <c r="BR19" i="13"/>
  <c r="BP19" i="13"/>
  <c r="V19" i="13"/>
  <c r="AW19" i="12"/>
  <c r="BM18" i="12"/>
  <c r="AV18" i="12"/>
  <c r="BJ18" i="12" s="1"/>
  <c r="AU18" i="12"/>
  <c r="BI18" i="12" s="1"/>
  <c r="AT18" i="12"/>
  <c r="AD18" i="12"/>
  <c r="AQ18" i="12"/>
  <c r="AA18" i="12"/>
  <c r="BP18" i="12"/>
  <c r="BO18" i="12"/>
  <c r="AP18" i="12"/>
  <c r="Z18" i="12"/>
  <c r="Y18" i="12"/>
  <c r="AY18" i="12"/>
  <c r="V18" i="12"/>
  <c r="AR18" i="12"/>
  <c r="AO18" i="12"/>
  <c r="BR18" i="12"/>
  <c r="AV17" i="12"/>
  <c r="AU17" i="12"/>
  <c r="F68" i="12"/>
  <c r="AC17" i="12"/>
  <c r="P32" i="12"/>
  <c r="P94" i="11"/>
  <c r="P53" i="11" s="1"/>
  <c r="P54" i="11" s="1"/>
  <c r="BR18" i="11"/>
  <c r="BO18" i="11"/>
  <c r="BP18" i="11"/>
  <c r="V18" i="11"/>
  <c r="AW19" i="11"/>
  <c r="BM18" i="11"/>
  <c r="P62" i="11"/>
  <c r="AZ17" i="11" s="1"/>
  <c r="AZ18" i="11" s="1"/>
  <c r="P32" i="11"/>
  <c r="BM18" i="10"/>
  <c r="BP18" i="10"/>
  <c r="BO18" i="10"/>
  <c r="BR18" i="10"/>
  <c r="V18" i="10"/>
  <c r="F68" i="10"/>
  <c r="P32" i="10"/>
  <c r="F68" i="9"/>
  <c r="V18" i="9"/>
  <c r="BM18" i="9"/>
  <c r="BP18" i="9"/>
  <c r="BO18" i="9"/>
  <c r="BR18" i="9"/>
  <c r="O31" i="9"/>
  <c r="O32" i="9" s="1"/>
  <c r="P62" i="9"/>
  <c r="P32" i="9"/>
  <c r="BU17" i="9"/>
  <c r="AH19" i="10" l="1"/>
  <c r="BB52" i="11"/>
  <c r="BC52" i="11" s="1"/>
  <c r="BD52" i="11" s="1"/>
  <c r="BI52" i="11"/>
  <c r="BN52" i="11" s="1"/>
  <c r="BV52" i="11" s="1"/>
  <c r="BY52" i="11" s="1"/>
  <c r="BI51" i="11"/>
  <c r="BN51" i="11" s="1"/>
  <c r="BV51" i="11" s="1"/>
  <c r="BY51" i="11" s="1"/>
  <c r="BB51" i="11"/>
  <c r="BC51" i="11" s="1"/>
  <c r="BD51" i="11" s="1"/>
  <c r="BI56" i="11"/>
  <c r="BN56" i="11" s="1"/>
  <c r="BV56" i="11" s="1"/>
  <c r="BY56" i="11" s="1"/>
  <c r="BB56" i="11"/>
  <c r="BC56" i="11" s="1"/>
  <c r="BD56" i="11" s="1"/>
  <c r="BI50" i="11"/>
  <c r="BN50" i="11" s="1"/>
  <c r="BV50" i="11" s="1"/>
  <c r="BY50" i="11" s="1"/>
  <c r="BB50" i="11"/>
  <c r="BC50" i="11" s="1"/>
  <c r="BD50" i="11" s="1"/>
  <c r="BI55" i="11"/>
  <c r="BN55" i="11" s="1"/>
  <c r="BV55" i="11" s="1"/>
  <c r="BY55" i="11" s="1"/>
  <c r="BB55" i="11"/>
  <c r="BC55" i="11" s="1"/>
  <c r="BD55" i="11" s="1"/>
  <c r="BI49" i="11"/>
  <c r="BN49" i="11" s="1"/>
  <c r="BV49" i="11" s="1"/>
  <c r="BY49" i="11" s="1"/>
  <c r="BB49" i="11"/>
  <c r="BC49" i="11" s="1"/>
  <c r="BD49" i="11" s="1"/>
  <c r="BB47" i="11"/>
  <c r="BC47" i="11" s="1"/>
  <c r="BD47" i="11" s="1"/>
  <c r="BI47" i="11"/>
  <c r="BN47" i="11" s="1"/>
  <c r="BV47" i="11" s="1"/>
  <c r="BY47" i="11" s="1"/>
  <c r="BI54" i="11"/>
  <c r="BN54" i="11" s="1"/>
  <c r="BV54" i="11" s="1"/>
  <c r="BY54" i="11" s="1"/>
  <c r="BB54" i="11"/>
  <c r="BC54" i="11" s="1"/>
  <c r="BD54" i="11" s="1"/>
  <c r="BB48" i="11"/>
  <c r="BC48" i="11" s="1"/>
  <c r="BD48" i="11" s="1"/>
  <c r="BJ48" i="11"/>
  <c r="BI53" i="11"/>
  <c r="BN53" i="11" s="1"/>
  <c r="BV53" i="11" s="1"/>
  <c r="BY53" i="11" s="1"/>
  <c r="BB53" i="11"/>
  <c r="BC53" i="11" s="1"/>
  <c r="BD53" i="11" s="1"/>
  <c r="BN48" i="11"/>
  <c r="BV48" i="11" s="1"/>
  <c r="BY48" i="11" s="1"/>
  <c r="AV17" i="9"/>
  <c r="BQ48" i="9"/>
  <c r="BQ36" i="9"/>
  <c r="BQ24" i="9"/>
  <c r="BX53" i="9"/>
  <c r="BX41" i="9"/>
  <c r="BX29" i="9"/>
  <c r="AU17" i="9"/>
  <c r="BQ47" i="9"/>
  <c r="BQ35" i="9"/>
  <c r="BQ23" i="9"/>
  <c r="BX52" i="9"/>
  <c r="BX40" i="9"/>
  <c r="BX28" i="9"/>
  <c r="BQ42" i="9"/>
  <c r="BQ46" i="9"/>
  <c r="BQ34" i="9"/>
  <c r="BQ22" i="9"/>
  <c r="BX51" i="9"/>
  <c r="BX39" i="9"/>
  <c r="BX27" i="9"/>
  <c r="BQ55" i="9"/>
  <c r="BQ19" i="9"/>
  <c r="BX24" i="9"/>
  <c r="BQ18" i="9"/>
  <c r="BQ45" i="9"/>
  <c r="BQ33" i="9"/>
  <c r="BQ21" i="9"/>
  <c r="BX50" i="9"/>
  <c r="BX38" i="9"/>
  <c r="BX26" i="9"/>
  <c r="BQ31" i="9"/>
  <c r="BX48" i="9"/>
  <c r="BQ54" i="9"/>
  <c r="BX47" i="9"/>
  <c r="BQ56" i="9"/>
  <c r="BQ44" i="9"/>
  <c r="BQ32" i="9"/>
  <c r="BQ20" i="9"/>
  <c r="BX49" i="9"/>
  <c r="BX37" i="9"/>
  <c r="BX25" i="9"/>
  <c r="BQ43" i="9"/>
  <c r="BX36" i="9"/>
  <c r="BQ30" i="9"/>
  <c r="BX23" i="9"/>
  <c r="BQ53" i="9"/>
  <c r="BQ41" i="9"/>
  <c r="BQ29" i="9"/>
  <c r="BQ17" i="9"/>
  <c r="BX46" i="9"/>
  <c r="BX34" i="9"/>
  <c r="BX22" i="9"/>
  <c r="BQ50" i="9"/>
  <c r="BX43" i="9"/>
  <c r="BQ49" i="9"/>
  <c r="BQ37" i="9"/>
  <c r="BX42" i="9"/>
  <c r="BX35" i="9"/>
  <c r="BQ52" i="9"/>
  <c r="BQ40" i="9"/>
  <c r="BQ28" i="9"/>
  <c r="BX17" i="9"/>
  <c r="BX45" i="9"/>
  <c r="BX33" i="9"/>
  <c r="BX21" i="9"/>
  <c r="BQ26" i="9"/>
  <c r="BX31" i="9"/>
  <c r="BX54" i="9"/>
  <c r="BX18" i="9"/>
  <c r="BQ51" i="9"/>
  <c r="BQ39" i="9"/>
  <c r="BQ27" i="9"/>
  <c r="BX56" i="9"/>
  <c r="BX44" i="9"/>
  <c r="BX32" i="9"/>
  <c r="BX20" i="9"/>
  <c r="BQ38" i="9"/>
  <c r="BX55" i="9"/>
  <c r="BX19" i="9"/>
  <c r="BQ25" i="9"/>
  <c r="BX30" i="9"/>
  <c r="AU47" i="9"/>
  <c r="AV47" i="9"/>
  <c r="BJ47" i="9" s="1"/>
  <c r="AU48" i="9"/>
  <c r="AV48" i="9"/>
  <c r="BJ48" i="9" s="1"/>
  <c r="AU49" i="9"/>
  <c r="AV49" i="9"/>
  <c r="BJ49" i="9" s="1"/>
  <c r="AU50" i="9"/>
  <c r="AV50" i="9"/>
  <c r="BJ50" i="9" s="1"/>
  <c r="AU51" i="9"/>
  <c r="AV51" i="9"/>
  <c r="BJ51" i="9" s="1"/>
  <c r="AU52" i="9"/>
  <c r="AV52" i="9"/>
  <c r="BJ52" i="9" s="1"/>
  <c r="AU53" i="9"/>
  <c r="AV53" i="9"/>
  <c r="BJ53" i="9" s="1"/>
  <c r="AU54" i="9"/>
  <c r="AV54" i="9"/>
  <c r="BJ54" i="9" s="1"/>
  <c r="AV55" i="9"/>
  <c r="BJ55" i="9" s="1"/>
  <c r="AU55" i="9"/>
  <c r="AV56" i="9"/>
  <c r="BJ56" i="9" s="1"/>
  <c r="AU56" i="9"/>
  <c r="BL18" i="9"/>
  <c r="BL18" i="10"/>
  <c r="AJ17" i="10"/>
  <c r="AM17" i="10" s="1"/>
  <c r="AC18" i="13"/>
  <c r="AJ18" i="13" s="1"/>
  <c r="AI18" i="13"/>
  <c r="AS17" i="13"/>
  <c r="AG19" i="13"/>
  <c r="AG19" i="12"/>
  <c r="BU17" i="12"/>
  <c r="BL18" i="12"/>
  <c r="BL18" i="11"/>
  <c r="BJ18" i="11"/>
  <c r="BA19" i="11"/>
  <c r="AZ19" i="11"/>
  <c r="E59" i="11"/>
  <c r="AG17" i="11"/>
  <c r="AG18" i="11" s="1"/>
  <c r="AG20" i="13"/>
  <c r="AZ18" i="10"/>
  <c r="AZ19" i="10" s="1"/>
  <c r="BA19" i="9"/>
  <c r="F59" i="9"/>
  <c r="AZ17" i="9"/>
  <c r="AZ18" i="9" s="1"/>
  <c r="AG17" i="9"/>
  <c r="BI47" i="12"/>
  <c r="BN47" i="12" s="1"/>
  <c r="BV47" i="12" s="1"/>
  <c r="BY47" i="12" s="1"/>
  <c r="BB47" i="12"/>
  <c r="BC47" i="12" s="1"/>
  <c r="BD47" i="12" s="1"/>
  <c r="BB55" i="12"/>
  <c r="BC55" i="12" s="1"/>
  <c r="BD55" i="12" s="1"/>
  <c r="BI55" i="12"/>
  <c r="BN55" i="12" s="1"/>
  <c r="BV55" i="12" s="1"/>
  <c r="BY55" i="12" s="1"/>
  <c r="BI50" i="12"/>
  <c r="BN50" i="12" s="1"/>
  <c r="BV50" i="12" s="1"/>
  <c r="BY50" i="12" s="1"/>
  <c r="BB50" i="12"/>
  <c r="BC50" i="12" s="1"/>
  <c r="BD50" i="12" s="1"/>
  <c r="BN17" i="13"/>
  <c r="BB51" i="12"/>
  <c r="BC51" i="12" s="1"/>
  <c r="BD51" i="12" s="1"/>
  <c r="BI51" i="12"/>
  <c r="BN51" i="12" s="1"/>
  <c r="BV51" i="12" s="1"/>
  <c r="BY51" i="12" s="1"/>
  <c r="BB54" i="12"/>
  <c r="BC54" i="12" s="1"/>
  <c r="BD54" i="12" s="1"/>
  <c r="BI54" i="12"/>
  <c r="BN54" i="12" s="1"/>
  <c r="BV54" i="12" s="1"/>
  <c r="BY54" i="12" s="1"/>
  <c r="BI49" i="12"/>
  <c r="BN49" i="12" s="1"/>
  <c r="BV49" i="12" s="1"/>
  <c r="BY49" i="12" s="1"/>
  <c r="BB49" i="12"/>
  <c r="BC49" i="12" s="1"/>
  <c r="BD49" i="12" s="1"/>
  <c r="BI56" i="12"/>
  <c r="BN56" i="12" s="1"/>
  <c r="BV56" i="12" s="1"/>
  <c r="BY56" i="12" s="1"/>
  <c r="BB56" i="12"/>
  <c r="BC56" i="12" s="1"/>
  <c r="BD56" i="12" s="1"/>
  <c r="AZ19" i="13"/>
  <c r="AZ20" i="13" s="1"/>
  <c r="BI48" i="12"/>
  <c r="BN48" i="12" s="1"/>
  <c r="BV48" i="12" s="1"/>
  <c r="BY48" i="12" s="1"/>
  <c r="BB48" i="12"/>
  <c r="BC48" i="12" s="1"/>
  <c r="BD48" i="12" s="1"/>
  <c r="BI53" i="12"/>
  <c r="BN53" i="12" s="1"/>
  <c r="BV53" i="12" s="1"/>
  <c r="BY53" i="12" s="1"/>
  <c r="BB53" i="12"/>
  <c r="BC53" i="12" s="1"/>
  <c r="BD53" i="12" s="1"/>
  <c r="BI52" i="12"/>
  <c r="BN52" i="12" s="1"/>
  <c r="BV52" i="12" s="1"/>
  <c r="BY52" i="12" s="1"/>
  <c r="BB52" i="12"/>
  <c r="BC52" i="12" s="1"/>
  <c r="BD52" i="12" s="1"/>
  <c r="AJ17" i="9"/>
  <c r="AM17" i="9" s="1"/>
  <c r="AM56" i="11"/>
  <c r="AM56" i="13"/>
  <c r="AM56" i="9"/>
  <c r="O64" i="9"/>
  <c r="O63" i="9"/>
  <c r="K22" i="4" a="1"/>
  <c r="K22" i="4" s="1"/>
  <c r="F59" i="11"/>
  <c r="AR18" i="11"/>
  <c r="AU18" i="9"/>
  <c r="BI18" i="9" s="1"/>
  <c r="AV18" i="9"/>
  <c r="BJ18" i="9" s="1"/>
  <c r="G21" i="4" a="1"/>
  <c r="G21" i="4" s="1"/>
  <c r="BA19" i="10"/>
  <c r="AG17" i="10"/>
  <c r="O64" i="10"/>
  <c r="O63" i="10"/>
  <c r="AW19" i="10"/>
  <c r="BK19" i="10" s="1"/>
  <c r="AX19" i="10"/>
  <c r="AU19" i="9"/>
  <c r="AW19" i="9"/>
  <c r="AR17" i="9"/>
  <c r="N22" i="4" a="1"/>
  <c r="N22" i="4" s="1"/>
  <c r="P53" i="12"/>
  <c r="P54" i="12" s="1"/>
  <c r="AF20" i="13"/>
  <c r="AD19" i="11"/>
  <c r="AF19" i="11"/>
  <c r="BT19" i="9" a="1"/>
  <c r="BT19" i="9" s="1"/>
  <c r="Q22" i="4" a="1"/>
  <c r="Q22" i="4" s="1"/>
  <c r="T22" i="4" a="1"/>
  <c r="T22" i="4" s="1"/>
  <c r="P21" i="4" a="1"/>
  <c r="P21" i="4" s="1"/>
  <c r="S21" i="4" a="1"/>
  <c r="S21" i="4" s="1"/>
  <c r="M22" i="4" a="1"/>
  <c r="M22" i="4" s="1"/>
  <c r="AM17" i="11"/>
  <c r="H4" i="2" a="1"/>
  <c r="H4" i="2" s="1"/>
  <c r="BT18" i="12"/>
  <c r="BU18" i="12" s="1"/>
  <c r="J4" i="2" a="1"/>
  <c r="J4" i="2" s="1"/>
  <c r="AV19" i="9"/>
  <c r="BJ19" i="9" s="1"/>
  <c r="AF19" i="12"/>
  <c r="AD19" i="10"/>
  <c r="AF19" i="10"/>
  <c r="N15" i="4" a="1"/>
  <c r="N15" i="4" s="1"/>
  <c r="H15" i="4" a="1"/>
  <c r="H15" i="4" s="1"/>
  <c r="J22" i="4" a="1"/>
  <c r="J22" i="4" s="1"/>
  <c r="H22" i="4" a="1"/>
  <c r="H22" i="4" s="1"/>
  <c r="Z19" i="13"/>
  <c r="P64" i="10"/>
  <c r="E59" i="10"/>
  <c r="BC17" i="13"/>
  <c r="F59" i="10"/>
  <c r="P63" i="10"/>
  <c r="BB19" i="13"/>
  <c r="AS18" i="11"/>
  <c r="AS18" i="10"/>
  <c r="P64" i="12"/>
  <c r="P63" i="12"/>
  <c r="AE18" i="9"/>
  <c r="AB18" i="9"/>
  <c r="AS18" i="9"/>
  <c r="BK19" i="9"/>
  <c r="AY19" i="9"/>
  <c r="BL19" i="9" s="1"/>
  <c r="AO19" i="9"/>
  <c r="AD19" i="9"/>
  <c r="AR19" i="9"/>
  <c r="AT19" i="9"/>
  <c r="AQ19" i="9"/>
  <c r="E59" i="9"/>
  <c r="Y19" i="9"/>
  <c r="AT20" i="13"/>
  <c r="AQ20" i="13"/>
  <c r="AO20" i="13"/>
  <c r="AD20" i="13"/>
  <c r="Z20" i="13"/>
  <c r="AA20" i="13"/>
  <c r="Y20" i="13"/>
  <c r="AP20" i="13"/>
  <c r="AV20" i="13"/>
  <c r="BJ20" i="13" s="1"/>
  <c r="BK20" i="13"/>
  <c r="AY20" i="13"/>
  <c r="BL20" i="13" s="1"/>
  <c r="AU20" i="13"/>
  <c r="BI20" i="13" s="1"/>
  <c r="AB19" i="13"/>
  <c r="AE19" i="13"/>
  <c r="AI19" i="13" s="1"/>
  <c r="AR20" i="13"/>
  <c r="AK20" i="13"/>
  <c r="AP19" i="13"/>
  <c r="BC18" i="13"/>
  <c r="O63" i="11"/>
  <c r="J23" i="4" s="1" a="1"/>
  <c r="J23" i="4" s="1"/>
  <c r="O64" i="11"/>
  <c r="J24" i="4" s="1" a="1"/>
  <c r="J24" i="4" s="1"/>
  <c r="AY19" i="11"/>
  <c r="BL19" i="11" s="1"/>
  <c r="AR19" i="11"/>
  <c r="AV19" i="11"/>
  <c r="AO19" i="11"/>
  <c r="AE18" i="11"/>
  <c r="AB18" i="11"/>
  <c r="AU19" i="11"/>
  <c r="Y19" i="11"/>
  <c r="BT17" i="11"/>
  <c r="BU17" i="11" s="1"/>
  <c r="AT19" i="11"/>
  <c r="BB18" i="11"/>
  <c r="AA19" i="11"/>
  <c r="BB17" i="11"/>
  <c r="AQ19" i="11"/>
  <c r="BA19" i="12"/>
  <c r="AV19" i="10"/>
  <c r="BJ19" i="10" s="1"/>
  <c r="AR19" i="10"/>
  <c r="AU19" i="10"/>
  <c r="AK20" i="10" s="1"/>
  <c r="AT19" i="10"/>
  <c r="AR17" i="10"/>
  <c r="AE18" i="10"/>
  <c r="AB18" i="10"/>
  <c r="AO19" i="10"/>
  <c r="Y19" i="10"/>
  <c r="AY19" i="10"/>
  <c r="BL19" i="10" s="1"/>
  <c r="P53" i="10"/>
  <c r="P54" i="10" s="1"/>
  <c r="BI18" i="10"/>
  <c r="BT18" i="10"/>
  <c r="BU18" i="10" s="1"/>
  <c r="AA19" i="10"/>
  <c r="BB18" i="10"/>
  <c r="BB17" i="10"/>
  <c r="AQ19" i="10"/>
  <c r="BT18" i="11"/>
  <c r="BH19" i="13"/>
  <c r="BU19" i="13"/>
  <c r="BN18" i="13"/>
  <c r="BV18" i="13" s="1"/>
  <c r="BV17" i="13"/>
  <c r="BI19" i="13"/>
  <c r="BT20" i="13"/>
  <c r="BP20" i="13"/>
  <c r="AW21" i="13"/>
  <c r="BM20" i="13"/>
  <c r="V20" i="13"/>
  <c r="BR20" i="13"/>
  <c r="BO20" i="13"/>
  <c r="BB18" i="12"/>
  <c r="BH18" i="12"/>
  <c r="BI17" i="12"/>
  <c r="BB17" i="12"/>
  <c r="AE18" i="12"/>
  <c r="AB18" i="12"/>
  <c r="BO19" i="12"/>
  <c r="AY19" i="12"/>
  <c r="BL19" i="12" s="1"/>
  <c r="V19" i="12"/>
  <c r="AW20" i="12"/>
  <c r="BM19" i="12"/>
  <c r="BK19" i="12"/>
  <c r="AV19" i="12"/>
  <c r="BJ19" i="12" s="1"/>
  <c r="BR19" i="12"/>
  <c r="AO19" i="12"/>
  <c r="Y19" i="12"/>
  <c r="AR19" i="12"/>
  <c r="AQ19" i="12"/>
  <c r="BT19" i="12"/>
  <c r="BP19" i="12"/>
  <c r="AD19" i="12"/>
  <c r="AU19" i="12"/>
  <c r="BI19" i="12" s="1"/>
  <c r="AT19" i="12"/>
  <c r="AJ17" i="12"/>
  <c r="AS18" i="12"/>
  <c r="BK18" i="12"/>
  <c r="BJ17" i="12"/>
  <c r="BI18" i="11"/>
  <c r="BT19" i="11"/>
  <c r="V19" i="11"/>
  <c r="AW20" i="11"/>
  <c r="BM19" i="11"/>
  <c r="BK19" i="11"/>
  <c r="BP19" i="11"/>
  <c r="BO19" i="11"/>
  <c r="BR19" i="11"/>
  <c r="BK18" i="11"/>
  <c r="BN17" i="11"/>
  <c r="P64" i="11"/>
  <c r="K24" i="4" s="1" a="1"/>
  <c r="K24" i="4" s="1"/>
  <c r="P63" i="11"/>
  <c r="K23" i="4" s="1" a="1"/>
  <c r="K23" i="4" s="1"/>
  <c r="BH18" i="11"/>
  <c r="BU17" i="10"/>
  <c r="BH18" i="10"/>
  <c r="BJ17" i="10"/>
  <c r="BK18" i="10"/>
  <c r="BI17" i="10"/>
  <c r="BO19" i="10"/>
  <c r="V19" i="10"/>
  <c r="BM19" i="10"/>
  <c r="BR19" i="10"/>
  <c r="BT19" i="10"/>
  <c r="BP19" i="10"/>
  <c r="P63" i="9"/>
  <c r="P64" i="9"/>
  <c r="BP19" i="9"/>
  <c r="BO19" i="9"/>
  <c r="V19" i="9"/>
  <c r="AW20" i="9"/>
  <c r="BM19" i="9"/>
  <c r="BR19" i="9"/>
  <c r="BU18" i="9"/>
  <c r="BJ17" i="9"/>
  <c r="BH18" i="9"/>
  <c r="BK18" i="9"/>
  <c r="BY47" i="9" l="1"/>
  <c r="BY53" i="9"/>
  <c r="BI47" i="9"/>
  <c r="BN47" i="9" s="1"/>
  <c r="BV47" i="9" s="1"/>
  <c r="BB47" i="9"/>
  <c r="BC47" i="9" s="1"/>
  <c r="BD47" i="9" s="1"/>
  <c r="BI53" i="9"/>
  <c r="BN53" i="9" s="1"/>
  <c r="BV53" i="9" s="1"/>
  <c r="BB53" i="9"/>
  <c r="BC53" i="9" s="1"/>
  <c r="BD53" i="9" s="1"/>
  <c r="BI52" i="9"/>
  <c r="BN52" i="9" s="1"/>
  <c r="BV52" i="9" s="1"/>
  <c r="BY52" i="9" s="1"/>
  <c r="BB52" i="9"/>
  <c r="BC52" i="9" s="1"/>
  <c r="BD52" i="9" s="1"/>
  <c r="BI51" i="9"/>
  <c r="BN51" i="9" s="1"/>
  <c r="BV51" i="9" s="1"/>
  <c r="BY51" i="9" s="1"/>
  <c r="BB51" i="9"/>
  <c r="BC51" i="9" s="1"/>
  <c r="BD51" i="9" s="1"/>
  <c r="BI56" i="9"/>
  <c r="BN56" i="9" s="1"/>
  <c r="BV56" i="9" s="1"/>
  <c r="BY56" i="9" s="1"/>
  <c r="BB56" i="9"/>
  <c r="BC56" i="9" s="1"/>
  <c r="BD56" i="9" s="1"/>
  <c r="BI50" i="9"/>
  <c r="BN50" i="9" s="1"/>
  <c r="BV50" i="9" s="1"/>
  <c r="BY50" i="9" s="1"/>
  <c r="BB50" i="9"/>
  <c r="BC50" i="9" s="1"/>
  <c r="BD50" i="9" s="1"/>
  <c r="BB55" i="9"/>
  <c r="BC55" i="9" s="1"/>
  <c r="BD55" i="9" s="1"/>
  <c r="BI55" i="9"/>
  <c r="BN55" i="9" s="1"/>
  <c r="BV55" i="9" s="1"/>
  <c r="BY55" i="9" s="1"/>
  <c r="BI49" i="9"/>
  <c r="BN49" i="9" s="1"/>
  <c r="BV49" i="9" s="1"/>
  <c r="BY49" i="9" s="1"/>
  <c r="BB49" i="9"/>
  <c r="BC49" i="9" s="1"/>
  <c r="BD49" i="9" s="1"/>
  <c r="BI54" i="9"/>
  <c r="BN54" i="9" s="1"/>
  <c r="BV54" i="9" s="1"/>
  <c r="BY54" i="9" s="1"/>
  <c r="BB54" i="9"/>
  <c r="BC54" i="9" s="1"/>
  <c r="BD54" i="9" s="1"/>
  <c r="BB48" i="9"/>
  <c r="BC48" i="9" s="1"/>
  <c r="BD48" i="9" s="1"/>
  <c r="BI48" i="9"/>
  <c r="BN48" i="9" s="1"/>
  <c r="BV48" i="9" s="1"/>
  <c r="BY48" i="9" s="1"/>
  <c r="AS17" i="9"/>
  <c r="BI17" i="9"/>
  <c r="AG19" i="9"/>
  <c r="AC18" i="9"/>
  <c r="AI18" i="9"/>
  <c r="AG18" i="9"/>
  <c r="AI18" i="10"/>
  <c r="AC18" i="10"/>
  <c r="AJ18" i="10" s="1"/>
  <c r="AS17" i="10"/>
  <c r="AI18" i="12"/>
  <c r="BU18" i="11"/>
  <c r="AC18" i="11"/>
  <c r="AJ18" i="11" s="1"/>
  <c r="F5" i="2" s="1" a="1"/>
  <c r="F5" i="2" s="1"/>
  <c r="AI18" i="11"/>
  <c r="AG19" i="11"/>
  <c r="AG20" i="11" s="1"/>
  <c r="AZ20" i="11"/>
  <c r="AG21" i="13"/>
  <c r="AG18" i="10"/>
  <c r="AG19" i="10" s="1"/>
  <c r="AZ19" i="9"/>
  <c r="AZ20" i="9" s="1"/>
  <c r="AS19" i="13"/>
  <c r="BC19" i="13" s="1"/>
  <c r="AZ21" i="13"/>
  <c r="E59" i="12"/>
  <c r="D4" i="2" a="1"/>
  <c r="D4" i="2" s="1"/>
  <c r="BC17" i="11"/>
  <c r="BD17" i="11" s="1"/>
  <c r="L4" i="2" a="1"/>
  <c r="L4" i="2" s="1"/>
  <c r="G22" i="4" a="1"/>
  <c r="G22" i="4" s="1"/>
  <c r="BB17" i="9"/>
  <c r="BB18" i="9"/>
  <c r="BC18" i="9" s="1"/>
  <c r="M5" i="2" s="1" a="1"/>
  <c r="M5" i="2" s="1"/>
  <c r="AK20" i="9"/>
  <c r="H23" i="4" a="1"/>
  <c r="H23" i="4" s="1"/>
  <c r="AZ20" i="10"/>
  <c r="AW20" i="10"/>
  <c r="AX20" i="10"/>
  <c r="M24" i="4" a="1"/>
  <c r="M24" i="4" s="1"/>
  <c r="M23" i="4" a="1"/>
  <c r="M23" i="4" s="1"/>
  <c r="AF21" i="13"/>
  <c r="AF20" i="12"/>
  <c r="BT20" i="9" a="1"/>
  <c r="BT20" i="9" s="1"/>
  <c r="I4" i="2" a="1"/>
  <c r="I4" i="2" s="1"/>
  <c r="AF20" i="11"/>
  <c r="Q24" i="4" a="1"/>
  <c r="Q24" i="4" s="1"/>
  <c r="T24" i="4" a="1"/>
  <c r="T24" i="4" s="1"/>
  <c r="Q23" i="4" a="1"/>
  <c r="Q23" i="4" s="1"/>
  <c r="T23" i="4" a="1"/>
  <c r="T23" i="4" s="1"/>
  <c r="AY20" i="10"/>
  <c r="BL20" i="10" s="1"/>
  <c r="AF20" i="10"/>
  <c r="P22" i="4" a="1"/>
  <c r="P22" i="4" s="1"/>
  <c r="S22" i="4" a="1"/>
  <c r="S22" i="4" s="1"/>
  <c r="N24" i="4" a="1"/>
  <c r="N24" i="4" s="1"/>
  <c r="H24" i="4" a="1"/>
  <c r="H24" i="4" s="1"/>
  <c r="AP19" i="10"/>
  <c r="N23" i="4" a="1"/>
  <c r="N23" i="4" s="1"/>
  <c r="AC19" i="13"/>
  <c r="BB19" i="10"/>
  <c r="AM18" i="13"/>
  <c r="BD17" i="13"/>
  <c r="BD18" i="13"/>
  <c r="BC18" i="10"/>
  <c r="BC18" i="11"/>
  <c r="G5" i="2" s="1" a="1"/>
  <c r="G5" i="2" s="1"/>
  <c r="AJ18" i="9"/>
  <c r="L5" i="2" s="1" a="1"/>
  <c r="L5" i="2" s="1"/>
  <c r="AS20" i="13"/>
  <c r="Z19" i="11"/>
  <c r="BB19" i="11"/>
  <c r="AA19" i="12"/>
  <c r="AP19" i="12"/>
  <c r="O63" i="12"/>
  <c r="G23" i="4" s="1" a="1"/>
  <c r="G23" i="4" s="1"/>
  <c r="BB19" i="9"/>
  <c r="AA20" i="9"/>
  <c r="Z20" i="9"/>
  <c r="AT20" i="9"/>
  <c r="AO20" i="9"/>
  <c r="AQ20" i="9"/>
  <c r="AP20" i="9"/>
  <c r="Y20" i="9"/>
  <c r="AD20" i="9"/>
  <c r="BK20" i="9"/>
  <c r="AU20" i="9"/>
  <c r="AV20" i="9"/>
  <c r="AY20" i="9"/>
  <c r="BL20" i="9" s="1"/>
  <c r="AR20" i="9"/>
  <c r="AE19" i="9"/>
  <c r="AI19" i="9" s="1"/>
  <c r="AB19" i="9"/>
  <c r="AA19" i="9"/>
  <c r="AP19" i="9"/>
  <c r="BA20" i="9"/>
  <c r="AT21" i="13"/>
  <c r="AQ21" i="13"/>
  <c r="AP21" i="13"/>
  <c r="AO21" i="13"/>
  <c r="AD21" i="13"/>
  <c r="AA21" i="13"/>
  <c r="Y21" i="13"/>
  <c r="Z21" i="13"/>
  <c r="BK21" i="13"/>
  <c r="AY21" i="13"/>
  <c r="BL21" i="13" s="1"/>
  <c r="AV21" i="13"/>
  <c r="BJ21" i="13" s="1"/>
  <c r="AU21" i="13"/>
  <c r="BI21" i="13" s="1"/>
  <c r="AR21" i="13"/>
  <c r="BB20" i="13"/>
  <c r="AK21" i="13"/>
  <c r="AB20" i="13"/>
  <c r="AC20" i="13" s="1"/>
  <c r="AE20" i="13"/>
  <c r="BA20" i="13"/>
  <c r="AB19" i="11"/>
  <c r="AE19" i="11"/>
  <c r="AI19" i="11" s="1"/>
  <c r="BI19" i="11"/>
  <c r="AK20" i="11"/>
  <c r="AP20" i="11"/>
  <c r="Z20" i="11"/>
  <c r="AY20" i="11"/>
  <c r="BL20" i="11" s="1"/>
  <c r="BK20" i="11"/>
  <c r="AO20" i="11"/>
  <c r="AA20" i="11"/>
  <c r="AD20" i="11"/>
  <c r="Y20" i="11"/>
  <c r="AQ20" i="11"/>
  <c r="AR20" i="11"/>
  <c r="AT20" i="11"/>
  <c r="AV20" i="11"/>
  <c r="BJ20" i="11" s="1"/>
  <c r="AU20" i="11"/>
  <c r="BA20" i="11"/>
  <c r="AP19" i="11"/>
  <c r="O64" i="12"/>
  <c r="G24" i="4" s="1" a="1"/>
  <c r="G24" i="4" s="1"/>
  <c r="BA20" i="12"/>
  <c r="BC17" i="10"/>
  <c r="Z20" i="10"/>
  <c r="Y20" i="10"/>
  <c r="AQ20" i="10"/>
  <c r="AP20" i="10"/>
  <c r="AO20" i="10"/>
  <c r="AA20" i="10"/>
  <c r="AD20" i="10"/>
  <c r="AT20" i="10"/>
  <c r="AV20" i="10"/>
  <c r="AR20" i="10"/>
  <c r="AU20" i="10"/>
  <c r="AB19" i="10"/>
  <c r="AE19" i="10"/>
  <c r="AI19" i="10" s="1"/>
  <c r="BA20" i="10"/>
  <c r="Z19" i="10"/>
  <c r="BU20" i="13"/>
  <c r="BN19" i="13"/>
  <c r="BH20" i="13"/>
  <c r="BT21" i="13"/>
  <c r="BP21" i="13"/>
  <c r="AW22" i="13"/>
  <c r="BM21" i="13"/>
  <c r="V21" i="13"/>
  <c r="BR21" i="13"/>
  <c r="BO21" i="13"/>
  <c r="AK20" i="12"/>
  <c r="BC18" i="12"/>
  <c r="BD18" i="12" s="1"/>
  <c r="BP20" i="12"/>
  <c r="Y20" i="12"/>
  <c r="BO20" i="12"/>
  <c r="AW21" i="12"/>
  <c r="AY20" i="12"/>
  <c r="BL20" i="12" s="1"/>
  <c r="BM20" i="12"/>
  <c r="BK20" i="12"/>
  <c r="V20" i="12"/>
  <c r="AT20" i="12"/>
  <c r="AQ20" i="12"/>
  <c r="BR20" i="12"/>
  <c r="AP20" i="12"/>
  <c r="AA20" i="12"/>
  <c r="AV20" i="12"/>
  <c r="AU20" i="12"/>
  <c r="AR20" i="12"/>
  <c r="AO20" i="12"/>
  <c r="BT20" i="12"/>
  <c r="AD20" i="12"/>
  <c r="Z20" i="12"/>
  <c r="BC17" i="12"/>
  <c r="AM17" i="12"/>
  <c r="BN17" i="12"/>
  <c r="BN18" i="12"/>
  <c r="BV18" i="12" s="1"/>
  <c r="BU19" i="12"/>
  <c r="BH19" i="12"/>
  <c r="BN19" i="12" s="1"/>
  <c r="BB19" i="12"/>
  <c r="AB19" i="12"/>
  <c r="AE19" i="12"/>
  <c r="AI19" i="12" s="1"/>
  <c r="AC18" i="12"/>
  <c r="BN18" i="11"/>
  <c r="BJ19" i="11"/>
  <c r="BV17" i="11"/>
  <c r="BH19" i="11"/>
  <c r="BU19" i="11"/>
  <c r="BR20" i="11"/>
  <c r="BO20" i="11"/>
  <c r="AW21" i="11"/>
  <c r="V20" i="11"/>
  <c r="BT20" i="11"/>
  <c r="BP20" i="11"/>
  <c r="BM20" i="11"/>
  <c r="BU19" i="10"/>
  <c r="BH19" i="10"/>
  <c r="BP20" i="10"/>
  <c r="BO20" i="10"/>
  <c r="BM20" i="10"/>
  <c r="V20" i="10"/>
  <c r="BR20" i="10"/>
  <c r="BT20" i="10"/>
  <c r="BN18" i="10"/>
  <c r="BV18" i="10" s="1"/>
  <c r="BN17" i="10"/>
  <c r="BI19" i="10"/>
  <c r="BI19" i="9"/>
  <c r="BN18" i="9"/>
  <c r="BV18" i="9" s="1"/>
  <c r="BM20" i="9"/>
  <c r="BP20" i="9"/>
  <c r="BR20" i="9"/>
  <c r="V20" i="9"/>
  <c r="BO20" i="9"/>
  <c r="AW21" i="9"/>
  <c r="BH19" i="9"/>
  <c r="BU19" i="9"/>
  <c r="BN17" i="9"/>
  <c r="AH20" i="10" l="1"/>
  <c r="G4" i="2" a="1"/>
  <c r="G4" i="2" s="1"/>
  <c r="AK21" i="9"/>
  <c r="AZ21" i="9"/>
  <c r="AG20" i="10"/>
  <c r="AG21" i="10" s="1"/>
  <c r="AI20" i="13"/>
  <c r="AG20" i="12"/>
  <c r="AG21" i="12" s="1"/>
  <c r="BV18" i="11"/>
  <c r="AZ21" i="11"/>
  <c r="AS19" i="11"/>
  <c r="AG21" i="11"/>
  <c r="AJ19" i="13"/>
  <c r="AM19" i="13" s="1"/>
  <c r="AG22" i="13"/>
  <c r="AG23" i="13"/>
  <c r="AS19" i="10"/>
  <c r="BC19" i="10" s="1"/>
  <c r="BD19" i="10" s="1"/>
  <c r="AS19" i="9"/>
  <c r="AG20" i="9"/>
  <c r="AG21" i="9" s="1"/>
  <c r="AZ22" i="13"/>
  <c r="AS19" i="12"/>
  <c r="BC19" i="12" s="1"/>
  <c r="BD19" i="12" s="1"/>
  <c r="BC17" i="9"/>
  <c r="BD17" i="9" s="1"/>
  <c r="M4" i="2" a="1"/>
  <c r="M4" i="2" s="1"/>
  <c r="AW21" i="10"/>
  <c r="BK21" i="10" s="1"/>
  <c r="AX21" i="10"/>
  <c r="AZ21" i="10"/>
  <c r="AM18" i="11"/>
  <c r="H5" i="2" a="1"/>
  <c r="H5" i="2" s="1"/>
  <c r="E5" i="2" a="1"/>
  <c r="E5" i="2" s="1"/>
  <c r="K5" i="2" a="1"/>
  <c r="K5" i="2" s="1"/>
  <c r="J5" i="2" a="1"/>
  <c r="J5" i="2" s="1"/>
  <c r="P23" i="4" a="1"/>
  <c r="P23" i="4" s="1"/>
  <c r="S23" i="4" a="1"/>
  <c r="S23" i="4" s="1"/>
  <c r="AF21" i="12"/>
  <c r="AF22" i="13"/>
  <c r="AF21" i="10"/>
  <c r="P24" i="4" a="1"/>
  <c r="P24" i="4" s="1"/>
  <c r="S24" i="4" a="1"/>
  <c r="S24" i="4" s="1"/>
  <c r="E4" i="2" a="1"/>
  <c r="E4" i="2" s="1"/>
  <c r="K4" i="2" a="1"/>
  <c r="K4" i="2" s="1"/>
  <c r="BT21" i="9" a="1"/>
  <c r="BT21" i="9" s="1"/>
  <c r="AF21" i="11"/>
  <c r="AC19" i="10"/>
  <c r="BD18" i="11"/>
  <c r="I5" i="2" a="1"/>
  <c r="I5" i="2" s="1"/>
  <c r="BD18" i="9"/>
  <c r="AM18" i="9"/>
  <c r="BD18" i="10"/>
  <c r="BD17" i="10"/>
  <c r="BD19" i="13"/>
  <c r="BC19" i="11"/>
  <c r="G6" i="2" s="1" a="1"/>
  <c r="G6" i="2" s="1"/>
  <c r="AM18" i="10"/>
  <c r="BC20" i="13"/>
  <c r="AC19" i="11"/>
  <c r="BC19" i="9"/>
  <c r="M6" i="2" s="1" a="1"/>
  <c r="M6" i="2" s="1"/>
  <c r="BB20" i="10"/>
  <c r="Z19" i="12"/>
  <c r="BA21" i="9"/>
  <c r="Z19" i="9"/>
  <c r="AO21" i="9"/>
  <c r="AD21" i="9"/>
  <c r="Z21" i="9"/>
  <c r="Y21" i="9"/>
  <c r="AT21" i="9"/>
  <c r="AP21" i="9"/>
  <c r="AA21" i="9"/>
  <c r="AQ21" i="9"/>
  <c r="AR21" i="9"/>
  <c r="AU21" i="9"/>
  <c r="AV21" i="9"/>
  <c r="BJ21" i="9" s="1"/>
  <c r="AY21" i="9"/>
  <c r="BL21" i="9" s="1"/>
  <c r="AB20" i="9"/>
  <c r="AC20" i="9" s="1"/>
  <c r="BI20" i="9"/>
  <c r="BB20" i="9"/>
  <c r="AS20" i="9"/>
  <c r="BN19" i="9"/>
  <c r="BV19" i="9" s="1"/>
  <c r="AA22" i="13"/>
  <c r="Y22" i="13"/>
  <c r="Z22" i="13"/>
  <c r="AT22" i="13"/>
  <c r="AP22" i="13"/>
  <c r="AO22" i="13"/>
  <c r="AQ22" i="13"/>
  <c r="AD22" i="13"/>
  <c r="BK22" i="13"/>
  <c r="AV22" i="13"/>
  <c r="BJ22" i="13" s="1"/>
  <c r="AU22" i="13"/>
  <c r="AY22" i="13"/>
  <c r="BL22" i="13" s="1"/>
  <c r="AR22" i="13"/>
  <c r="AS21" i="13"/>
  <c r="BB21" i="13"/>
  <c r="AK22" i="13"/>
  <c r="AJ20" i="13"/>
  <c r="AB21" i="13"/>
  <c r="AC21" i="13" s="1"/>
  <c r="AE21" i="13"/>
  <c r="AI21" i="13" s="1"/>
  <c r="BA21" i="13"/>
  <c r="AK21" i="11"/>
  <c r="AS20" i="11"/>
  <c r="BB20" i="11"/>
  <c r="AO21" i="11"/>
  <c r="Z21" i="11"/>
  <c r="AD21" i="11"/>
  <c r="AA21" i="11"/>
  <c r="AY21" i="11"/>
  <c r="BL21" i="11" s="1"/>
  <c r="Y21" i="11"/>
  <c r="AT21" i="11"/>
  <c r="AR21" i="11"/>
  <c r="AQ21" i="11"/>
  <c r="AP21" i="11"/>
  <c r="AV21" i="11"/>
  <c r="BJ21" i="11" s="1"/>
  <c r="AU21" i="11"/>
  <c r="AB20" i="11"/>
  <c r="AC20" i="11" s="1"/>
  <c r="AE20" i="11"/>
  <c r="AI20" i="11" s="1"/>
  <c r="BA21" i="12"/>
  <c r="AK21" i="10"/>
  <c r="AS20" i="10"/>
  <c r="AD21" i="10"/>
  <c r="Y21" i="10"/>
  <c r="AA21" i="10"/>
  <c r="Z21" i="10"/>
  <c r="AT21" i="10"/>
  <c r="AQ21" i="10"/>
  <c r="AO21" i="10"/>
  <c r="AP21" i="10"/>
  <c r="AU21" i="10"/>
  <c r="AV21" i="10"/>
  <c r="BJ21" i="10" s="1"/>
  <c r="AR21" i="10"/>
  <c r="AY21" i="10"/>
  <c r="AB20" i="10"/>
  <c r="AC20" i="10" s="1"/>
  <c r="AE20" i="10"/>
  <c r="BA21" i="10"/>
  <c r="BN20" i="13"/>
  <c r="BV20" i="13" s="1"/>
  <c r="BY20" i="13" s="1"/>
  <c r="BV19" i="13"/>
  <c r="BH21" i="13"/>
  <c r="BN21" i="13" s="1"/>
  <c r="BU21" i="13"/>
  <c r="BT22" i="13"/>
  <c r="BP22" i="13"/>
  <c r="AW23" i="13"/>
  <c r="BM22" i="13"/>
  <c r="V22" i="13"/>
  <c r="BR22" i="13"/>
  <c r="BO22" i="13"/>
  <c r="BV19" i="12"/>
  <c r="BU20" i="12"/>
  <c r="BB20" i="12"/>
  <c r="BH20" i="12"/>
  <c r="AS20" i="12"/>
  <c r="BD17" i="12"/>
  <c r="BV17" i="12"/>
  <c r="BI20" i="12"/>
  <c r="AK21" i="12"/>
  <c r="BJ20" i="12"/>
  <c r="BP21" i="12"/>
  <c r="Y21" i="12"/>
  <c r="BO21" i="12"/>
  <c r="AW22" i="12"/>
  <c r="AY21" i="12"/>
  <c r="BL21" i="12" s="1"/>
  <c r="BM21" i="12"/>
  <c r="V21" i="12"/>
  <c r="AT21" i="12"/>
  <c r="AQ21" i="12"/>
  <c r="BR21" i="12"/>
  <c r="AP21" i="12"/>
  <c r="AA21" i="12"/>
  <c r="AD21" i="12"/>
  <c r="Z21" i="12"/>
  <c r="AV21" i="12"/>
  <c r="BJ21" i="12" s="1"/>
  <c r="AU21" i="12"/>
  <c r="AR21" i="12"/>
  <c r="AO21" i="12"/>
  <c r="BT21" i="12"/>
  <c r="AJ18" i="12"/>
  <c r="AE20" i="12"/>
  <c r="AI20" i="12" s="1"/>
  <c r="AB20" i="12"/>
  <c r="AC20" i="12" s="1"/>
  <c r="BR21" i="11"/>
  <c r="BO21" i="11"/>
  <c r="AW22" i="11"/>
  <c r="V21" i="11"/>
  <c r="BP21" i="11"/>
  <c r="BT21" i="11"/>
  <c r="BM21" i="11"/>
  <c r="BU20" i="11"/>
  <c r="BN19" i="11"/>
  <c r="BV19" i="11" s="1"/>
  <c r="BI20" i="11"/>
  <c r="BH20" i="11"/>
  <c r="BK20" i="10"/>
  <c r="BJ20" i="10"/>
  <c r="BH20" i="10"/>
  <c r="BI20" i="10"/>
  <c r="BP21" i="10"/>
  <c r="BO21" i="10"/>
  <c r="BM21" i="10"/>
  <c r="V21" i="10"/>
  <c r="BR21" i="10"/>
  <c r="BT21" i="10"/>
  <c r="BU20" i="10"/>
  <c r="BV17" i="10"/>
  <c r="BN19" i="10"/>
  <c r="BV19" i="10" s="1"/>
  <c r="BR21" i="9"/>
  <c r="BM21" i="9"/>
  <c r="V21" i="9"/>
  <c r="BP21" i="9"/>
  <c r="BO21" i="9"/>
  <c r="AW22" i="9"/>
  <c r="BU20" i="9"/>
  <c r="BV17" i="9"/>
  <c r="BJ20" i="9"/>
  <c r="BH20" i="9"/>
  <c r="AH22" i="10" l="1"/>
  <c r="AH21" i="10"/>
  <c r="AK22" i="9"/>
  <c r="AI20" i="10"/>
  <c r="AZ23" i="13"/>
  <c r="AG22" i="12"/>
  <c r="AZ22" i="11"/>
  <c r="AG22" i="11"/>
  <c r="AJ19" i="11"/>
  <c r="F6" i="2" a="1"/>
  <c r="F6" i="2" s="1"/>
  <c r="AJ19" i="10"/>
  <c r="J6" i="2" s="1" a="1"/>
  <c r="J6" i="2" s="1"/>
  <c r="AG22" i="9"/>
  <c r="AC19" i="9"/>
  <c r="AZ22" i="9"/>
  <c r="D5" i="2" a="1"/>
  <c r="D5" i="2" s="1"/>
  <c r="AC19" i="12"/>
  <c r="AG22" i="10"/>
  <c r="AZ22" i="10"/>
  <c r="AW22" i="10"/>
  <c r="BK22" i="10" s="1"/>
  <c r="AX22" i="10"/>
  <c r="AF23" i="13"/>
  <c r="AF22" i="10"/>
  <c r="E6" i="2" a="1"/>
  <c r="E6" i="2" s="1"/>
  <c r="K6" i="2" a="1"/>
  <c r="K6" i="2" s="1"/>
  <c r="BD19" i="11"/>
  <c r="I6" i="2" a="1"/>
  <c r="I6" i="2" s="1"/>
  <c r="AF22" i="12"/>
  <c r="AM19" i="11"/>
  <c r="H6" i="2" a="1"/>
  <c r="H6" i="2" s="1"/>
  <c r="BT22" i="9" a="1"/>
  <c r="BT22" i="9" s="1"/>
  <c r="AF22" i="11"/>
  <c r="BD19" i="9"/>
  <c r="BA22" i="10"/>
  <c r="AM20" i="13"/>
  <c r="BD20" i="13"/>
  <c r="BC20" i="10"/>
  <c r="BA21" i="11"/>
  <c r="AS21" i="9"/>
  <c r="BB21" i="9"/>
  <c r="BC20" i="9"/>
  <c r="M7" i="2" s="1" a="1"/>
  <c r="M7" i="2" s="1"/>
  <c r="AB21" i="9"/>
  <c r="AC21" i="9" s="1"/>
  <c r="AT22" i="9"/>
  <c r="AQ22" i="9"/>
  <c r="AO22" i="9"/>
  <c r="AD22" i="9"/>
  <c r="AA22" i="9"/>
  <c r="Y22" i="9"/>
  <c r="Z22" i="9"/>
  <c r="AP22" i="9"/>
  <c r="BK22" i="9"/>
  <c r="AY22" i="9"/>
  <c r="BL22" i="9" s="1"/>
  <c r="AR22" i="9"/>
  <c r="AU22" i="9"/>
  <c r="AV22" i="9"/>
  <c r="BA22" i="9"/>
  <c r="AD23" i="13"/>
  <c r="AA23" i="13"/>
  <c r="Z23" i="13"/>
  <c r="Y23" i="13"/>
  <c r="AQ23" i="13"/>
  <c r="AZ24" i="13" s="1"/>
  <c r="AO23" i="13"/>
  <c r="AP23" i="13"/>
  <c r="AT23" i="13"/>
  <c r="BK23" i="13"/>
  <c r="AV23" i="13"/>
  <c r="BJ23" i="13" s="1"/>
  <c r="AY23" i="13"/>
  <c r="BL23" i="13" s="1"/>
  <c r="AU23" i="13"/>
  <c r="AK24" i="13" s="1"/>
  <c r="AR23" i="13"/>
  <c r="BC21" i="13"/>
  <c r="AB22" i="13"/>
  <c r="AC22" i="13" s="1"/>
  <c r="AE22" i="13"/>
  <c r="AI22" i="13" s="1"/>
  <c r="AJ21" i="13"/>
  <c r="AS22" i="13"/>
  <c r="BB22" i="13"/>
  <c r="AK23" i="13"/>
  <c r="BI22" i="13"/>
  <c r="BA23" i="13"/>
  <c r="BA22" i="13"/>
  <c r="AS21" i="11"/>
  <c r="BB21" i="11"/>
  <c r="AJ20" i="11"/>
  <c r="F7" i="2" s="1" a="1"/>
  <c r="F7" i="2" s="1"/>
  <c r="BI21" i="11"/>
  <c r="AK22" i="11"/>
  <c r="BC20" i="11"/>
  <c r="G7" i="2" s="1" a="1"/>
  <c r="G7" i="2" s="1"/>
  <c r="AD22" i="11"/>
  <c r="Z22" i="11"/>
  <c r="Y22" i="11"/>
  <c r="BK22" i="11"/>
  <c r="AT22" i="11"/>
  <c r="AR22" i="11"/>
  <c r="AQ22" i="11"/>
  <c r="AA22" i="11"/>
  <c r="AG23" i="11" s="1"/>
  <c r="AY22" i="11"/>
  <c r="BL22" i="11" s="1"/>
  <c r="AP22" i="11"/>
  <c r="AO22" i="11"/>
  <c r="AV22" i="11"/>
  <c r="BJ22" i="11" s="1"/>
  <c r="AU22" i="11"/>
  <c r="AE21" i="11"/>
  <c r="AI21" i="11" s="1"/>
  <c r="AB21" i="11"/>
  <c r="AC21" i="11" s="1"/>
  <c r="BA22" i="11"/>
  <c r="BA22" i="12"/>
  <c r="AS21" i="10"/>
  <c r="AB21" i="10"/>
  <c r="AC21" i="10" s="1"/>
  <c r="AE21" i="10"/>
  <c r="AI21" i="10" s="1"/>
  <c r="AJ20" i="10"/>
  <c r="BB21" i="10"/>
  <c r="AK22" i="10"/>
  <c r="BL21" i="10"/>
  <c r="AQ22" i="10"/>
  <c r="AP22" i="10"/>
  <c r="AO22" i="10"/>
  <c r="AD22" i="10"/>
  <c r="Z22" i="10"/>
  <c r="Y22" i="10"/>
  <c r="AA22" i="10"/>
  <c r="AT22" i="10"/>
  <c r="AV22" i="10"/>
  <c r="BJ22" i="10" s="1"/>
  <c r="AR22" i="10"/>
  <c r="AU22" i="10"/>
  <c r="BI22" i="10" s="1"/>
  <c r="AY22" i="10"/>
  <c r="BL22" i="10" s="1"/>
  <c r="BV21" i="13"/>
  <c r="BY21" i="13" s="1"/>
  <c r="BU22" i="13"/>
  <c r="BH22" i="13"/>
  <c r="BT23" i="13"/>
  <c r="BP23" i="13"/>
  <c r="BM23" i="13"/>
  <c r="V23" i="13"/>
  <c r="BR23" i="13"/>
  <c r="BO23" i="13"/>
  <c r="AW24" i="13"/>
  <c r="AS21" i="12"/>
  <c r="AM18" i="12"/>
  <c r="BB21" i="12"/>
  <c r="BH21" i="12"/>
  <c r="AK22" i="12"/>
  <c r="BN20" i="12"/>
  <c r="BI21" i="12"/>
  <c r="BK21" i="12"/>
  <c r="AJ20" i="12"/>
  <c r="BP22" i="12"/>
  <c r="Y22" i="12"/>
  <c r="BO22" i="12"/>
  <c r="AW23" i="12"/>
  <c r="AY22" i="12"/>
  <c r="BL22" i="12" s="1"/>
  <c r="BM22" i="12"/>
  <c r="BK22" i="12"/>
  <c r="V22" i="12"/>
  <c r="AT22" i="12"/>
  <c r="AQ22" i="12"/>
  <c r="BR22" i="12"/>
  <c r="AP22" i="12"/>
  <c r="AA22" i="12"/>
  <c r="AR22" i="12"/>
  <c r="AO22" i="12"/>
  <c r="BT22" i="12"/>
  <c r="Z22" i="12"/>
  <c r="AV22" i="12"/>
  <c r="BJ22" i="12" s="1"/>
  <c r="AU22" i="12"/>
  <c r="AD22" i="12"/>
  <c r="BC20" i="12"/>
  <c r="BD20" i="12" s="1"/>
  <c r="AE21" i="12"/>
  <c r="AI21" i="12" s="1"/>
  <c r="AB21" i="12"/>
  <c r="AC21" i="12" s="1"/>
  <c r="BU21" i="12"/>
  <c r="BH21" i="11"/>
  <c r="BK21" i="11"/>
  <c r="BR22" i="11"/>
  <c r="BO22" i="11"/>
  <c r="AW23" i="11"/>
  <c r="V22" i="11"/>
  <c r="BT22" i="11"/>
  <c r="BP22" i="11"/>
  <c r="BM22" i="11"/>
  <c r="BN20" i="11"/>
  <c r="BV20" i="11" s="1"/>
  <c r="BY20" i="11" s="1"/>
  <c r="BU21" i="11"/>
  <c r="BH21" i="10"/>
  <c r="BP22" i="10"/>
  <c r="BO22" i="10"/>
  <c r="BM22" i="10"/>
  <c r="V22" i="10"/>
  <c r="BR22" i="10"/>
  <c r="BT22" i="10"/>
  <c r="BN20" i="10"/>
  <c r="BV20" i="10" s="1"/>
  <c r="BY20" i="10" s="1"/>
  <c r="BI21" i="10"/>
  <c r="BU21" i="10"/>
  <c r="BN20" i="9"/>
  <c r="BV20" i="9" s="1"/>
  <c r="BY20" i="9" s="1"/>
  <c r="BH21" i="9"/>
  <c r="BK21" i="9"/>
  <c r="BI21" i="9"/>
  <c r="BR22" i="9"/>
  <c r="BP22" i="9"/>
  <c r="BM22" i="9"/>
  <c r="V22" i="9"/>
  <c r="AW23" i="9"/>
  <c r="BO22" i="9"/>
  <c r="BU21" i="9"/>
  <c r="AH23" i="10" l="1"/>
  <c r="AK23" i="9"/>
  <c r="AM19" i="10"/>
  <c r="AG23" i="12"/>
  <c r="AZ23" i="11"/>
  <c r="AG24" i="13"/>
  <c r="AJ19" i="9"/>
  <c r="AZ23" i="9"/>
  <c r="AG23" i="9"/>
  <c r="AJ19" i="12"/>
  <c r="D6" i="2" s="1" a="1"/>
  <c r="D6" i="2" s="1"/>
  <c r="AZ23" i="10"/>
  <c r="AW23" i="10"/>
  <c r="AX23" i="10"/>
  <c r="AG23" i="10"/>
  <c r="E7" i="2" a="1"/>
  <c r="E7" i="2" s="1"/>
  <c r="K7" i="2" a="1"/>
  <c r="K7" i="2" s="1"/>
  <c r="AM20" i="11"/>
  <c r="H7" i="2" a="1"/>
  <c r="H7" i="2" s="1"/>
  <c r="BT23" i="9" a="1"/>
  <c r="BT23" i="9" s="1"/>
  <c r="AF23" i="12"/>
  <c r="D7" i="2" a="1"/>
  <c r="D7" i="2" s="1"/>
  <c r="J7" i="2" a="1"/>
  <c r="J7" i="2" s="1"/>
  <c r="AF23" i="10"/>
  <c r="AF23" i="11"/>
  <c r="BD20" i="11"/>
  <c r="I7" i="2" a="1"/>
  <c r="I7" i="2" s="1"/>
  <c r="AF24" i="13"/>
  <c r="BD20" i="9"/>
  <c r="BC21" i="9"/>
  <c r="M8" i="2" s="1" a="1"/>
  <c r="M8" i="2" s="1"/>
  <c r="BA23" i="10"/>
  <c r="AM21" i="13"/>
  <c r="BD20" i="10"/>
  <c r="BD21" i="13"/>
  <c r="AM20" i="10"/>
  <c r="BA23" i="11"/>
  <c r="BC21" i="10"/>
  <c r="BC21" i="11"/>
  <c r="G8" i="2" s="1" a="1"/>
  <c r="G8" i="2" s="1"/>
  <c r="BA23" i="9"/>
  <c r="AS22" i="11"/>
  <c r="BA23" i="12"/>
  <c r="AB22" i="9"/>
  <c r="AC22" i="9" s="1"/>
  <c r="BB22" i="9"/>
  <c r="AS22" i="9"/>
  <c r="AQ23" i="9"/>
  <c r="AP23" i="9"/>
  <c r="Y23" i="9"/>
  <c r="AO23" i="9"/>
  <c r="AT23" i="9"/>
  <c r="AD23" i="9"/>
  <c r="AA23" i="9"/>
  <c r="Z23" i="9"/>
  <c r="BK23" i="9"/>
  <c r="AV23" i="9"/>
  <c r="BJ23" i="9" s="1"/>
  <c r="AU23" i="9"/>
  <c r="BI23" i="9" s="1"/>
  <c r="AR23" i="9"/>
  <c r="AY23" i="9"/>
  <c r="BL23" i="9" s="1"/>
  <c r="BN22" i="13"/>
  <c r="BV22" i="13" s="1"/>
  <c r="BY22" i="13" s="1"/>
  <c r="AQ24" i="13"/>
  <c r="AZ25" i="13" s="1"/>
  <c r="AP24" i="13"/>
  <c r="AD24" i="13"/>
  <c r="AA24" i="13"/>
  <c r="Z24" i="13"/>
  <c r="Y24" i="13"/>
  <c r="AT24" i="13"/>
  <c r="AO24" i="13"/>
  <c r="BK24" i="13"/>
  <c r="AU24" i="13"/>
  <c r="AY24" i="13"/>
  <c r="BL24" i="13" s="1"/>
  <c r="AV24" i="13"/>
  <c r="BJ24" i="13" s="1"/>
  <c r="AR24" i="13"/>
  <c r="BB23" i="13"/>
  <c r="AS23" i="13"/>
  <c r="BC22" i="13"/>
  <c r="AB23" i="13"/>
  <c r="AC23" i="13" s="1"/>
  <c r="AE23" i="13"/>
  <c r="AI23" i="13" s="1"/>
  <c r="AJ22" i="13"/>
  <c r="BA24" i="13"/>
  <c r="AJ21" i="11"/>
  <c r="F8" i="2" s="1" a="1"/>
  <c r="F8" i="2" s="1"/>
  <c r="BB22" i="11"/>
  <c r="AK23" i="11"/>
  <c r="AE22" i="11"/>
  <c r="AI22" i="11" s="1"/>
  <c r="AB22" i="11"/>
  <c r="AC22" i="11" s="1"/>
  <c r="AD23" i="11"/>
  <c r="AT23" i="11"/>
  <c r="AP23" i="11"/>
  <c r="AQ23" i="11"/>
  <c r="AZ24" i="11" s="1"/>
  <c r="AA23" i="11"/>
  <c r="AG24" i="11" s="1"/>
  <c r="BK23" i="11"/>
  <c r="Z23" i="11"/>
  <c r="AY23" i="11"/>
  <c r="BL23" i="11" s="1"/>
  <c r="Y23" i="11"/>
  <c r="AR23" i="11"/>
  <c r="AO23" i="11"/>
  <c r="AU23" i="11"/>
  <c r="AK24" i="11" s="1"/>
  <c r="AV23" i="11"/>
  <c r="AB22" i="10"/>
  <c r="AC22" i="10" s="1"/>
  <c r="AE22" i="10"/>
  <c r="AI22" i="10" s="1"/>
  <c r="BB22" i="10"/>
  <c r="AP23" i="10"/>
  <c r="AO23" i="10"/>
  <c r="AT23" i="10"/>
  <c r="AQ23" i="10"/>
  <c r="AD23" i="10"/>
  <c r="AA23" i="10"/>
  <c r="AH24" i="10" s="1"/>
  <c r="Z23" i="10"/>
  <c r="Y23" i="10"/>
  <c r="AR23" i="10"/>
  <c r="AV23" i="10"/>
  <c r="AU23" i="10"/>
  <c r="AY23" i="10"/>
  <c r="BL23" i="10" s="1"/>
  <c r="AS22" i="10"/>
  <c r="AK23" i="10"/>
  <c r="AJ21" i="10"/>
  <c r="BI23" i="13"/>
  <c r="BT24" i="13"/>
  <c r="BO24" i="13"/>
  <c r="BM24" i="13"/>
  <c r="V24" i="13"/>
  <c r="BP24" i="13"/>
  <c r="BR24" i="13"/>
  <c r="AW25" i="13"/>
  <c r="BU23" i="13"/>
  <c r="BH23" i="13"/>
  <c r="AM20" i="12"/>
  <c r="AJ21" i="12"/>
  <c r="AM21" i="12" s="1"/>
  <c r="BI22" i="12"/>
  <c r="AK23" i="12"/>
  <c r="BH22" i="12"/>
  <c r="BB22" i="12"/>
  <c r="BC21" i="12"/>
  <c r="BD21" i="12" s="1"/>
  <c r="BN21" i="12"/>
  <c r="BV21" i="12" s="1"/>
  <c r="BY21" i="12" s="1"/>
  <c r="AS22" i="12"/>
  <c r="BP23" i="12"/>
  <c r="Y23" i="12"/>
  <c r="AW24" i="12"/>
  <c r="BO23" i="12"/>
  <c r="AY23" i="12"/>
  <c r="BL23" i="12" s="1"/>
  <c r="BM23" i="12"/>
  <c r="BK23" i="12"/>
  <c r="V23" i="12"/>
  <c r="AT23" i="12"/>
  <c r="AQ23" i="12"/>
  <c r="BR23" i="12"/>
  <c r="AP23" i="12"/>
  <c r="AA23" i="12"/>
  <c r="AG24" i="12" s="1"/>
  <c r="AV23" i="12"/>
  <c r="BJ23" i="12" s="1"/>
  <c r="AU23" i="12"/>
  <c r="AK24" i="12" s="1"/>
  <c r="AR23" i="12"/>
  <c r="AO23" i="12"/>
  <c r="BT23" i="12"/>
  <c r="AD23" i="12"/>
  <c r="Z23" i="12"/>
  <c r="AE22" i="12"/>
  <c r="AI22" i="12" s="1"/>
  <c r="AB22" i="12"/>
  <c r="AC22" i="12" s="1"/>
  <c r="BU22" i="12"/>
  <c r="BV20" i="12"/>
  <c r="BY20" i="12" s="1"/>
  <c r="BN21" i="11"/>
  <c r="BV21" i="11" s="1"/>
  <c r="BU22" i="11"/>
  <c r="BH22" i="11"/>
  <c r="BI22" i="11"/>
  <c r="BR23" i="11"/>
  <c r="AW24" i="11"/>
  <c r="BO23" i="11"/>
  <c r="BP23" i="11"/>
  <c r="V23" i="11"/>
  <c r="BM23" i="11"/>
  <c r="BT23" i="11"/>
  <c r="BN21" i="10"/>
  <c r="BH22" i="10"/>
  <c r="BP23" i="10"/>
  <c r="BO23" i="10"/>
  <c r="BM23" i="10"/>
  <c r="BK23" i="10"/>
  <c r="V23" i="10"/>
  <c r="BR23" i="10"/>
  <c r="BT23" i="10"/>
  <c r="BU22" i="10"/>
  <c r="BR23" i="9"/>
  <c r="BP23" i="9"/>
  <c r="BM23" i="9"/>
  <c r="V23" i="9"/>
  <c r="BO23" i="9"/>
  <c r="AW24" i="9"/>
  <c r="BH22" i="9"/>
  <c r="BU22" i="9"/>
  <c r="BN21" i="9"/>
  <c r="BI22" i="9"/>
  <c r="BJ22" i="9"/>
  <c r="AK24" i="9" l="1"/>
  <c r="AZ24" i="9"/>
  <c r="AG25" i="13"/>
  <c r="L6" i="2" a="1"/>
  <c r="L6" i="2" s="1"/>
  <c r="AM19" i="9"/>
  <c r="AG24" i="9"/>
  <c r="AM19" i="12"/>
  <c r="AW24" i="10"/>
  <c r="AX24" i="10"/>
  <c r="AK24" i="10"/>
  <c r="AG24" i="10"/>
  <c r="AZ24" i="10"/>
  <c r="E8" i="2" a="1"/>
  <c r="E8" i="2" s="1"/>
  <c r="K8" i="2" a="1"/>
  <c r="K8" i="2" s="1"/>
  <c r="AF25" i="13"/>
  <c r="AM21" i="11"/>
  <c r="H8" i="2" a="1"/>
  <c r="H8" i="2" s="1"/>
  <c r="BD21" i="11"/>
  <c r="I8" i="2" a="1"/>
  <c r="I8" i="2" s="1"/>
  <c r="BT24" i="9" a="1"/>
  <c r="BT24" i="9" s="1"/>
  <c r="AF24" i="12"/>
  <c r="AF24" i="10"/>
  <c r="AF24" i="11"/>
  <c r="D8" i="2" a="1"/>
  <c r="D8" i="2" s="1"/>
  <c r="J8" i="2" a="1"/>
  <c r="J8" i="2" s="1"/>
  <c r="BD21" i="9"/>
  <c r="BC22" i="11"/>
  <c r="G9" i="2" s="1" a="1"/>
  <c r="G9" i="2" s="1"/>
  <c r="AM22" i="13"/>
  <c r="BD21" i="10"/>
  <c r="BD22" i="13"/>
  <c r="AM21" i="10"/>
  <c r="BA24" i="12"/>
  <c r="AS23" i="9"/>
  <c r="AA24" i="9"/>
  <c r="Z24" i="9"/>
  <c r="Y24" i="9"/>
  <c r="AT24" i="9"/>
  <c r="AO24" i="9"/>
  <c r="AQ24" i="9"/>
  <c r="AP24" i="9"/>
  <c r="AD24" i="9"/>
  <c r="BK24" i="9"/>
  <c r="AR24" i="9"/>
  <c r="AU24" i="9"/>
  <c r="AK25" i="9" s="1"/>
  <c r="AY24" i="9"/>
  <c r="BL24" i="9" s="1"/>
  <c r="AV24" i="9"/>
  <c r="AB23" i="9"/>
  <c r="AC23" i="9" s="1"/>
  <c r="BA24" i="9"/>
  <c r="BC22" i="9"/>
  <c r="M9" i="2" s="1" a="1"/>
  <c r="M9" i="2" s="1"/>
  <c r="BB23" i="9"/>
  <c r="BC23" i="13"/>
  <c r="AJ23" i="13"/>
  <c r="AK25" i="13"/>
  <c r="BB24" i="13"/>
  <c r="AB24" i="13"/>
  <c r="AC24" i="13" s="1"/>
  <c r="AE24" i="13"/>
  <c r="AI24" i="13" s="1"/>
  <c r="AT25" i="13"/>
  <c r="AQ25" i="13"/>
  <c r="AZ26" i="13" s="1"/>
  <c r="AP25" i="13"/>
  <c r="AO25" i="13"/>
  <c r="AA25" i="13"/>
  <c r="AD25" i="13"/>
  <c r="Z25" i="13"/>
  <c r="Y25" i="13"/>
  <c r="BK25" i="13"/>
  <c r="AV25" i="13"/>
  <c r="BJ25" i="13" s="1"/>
  <c r="AY25" i="13"/>
  <c r="BL25" i="13" s="1"/>
  <c r="AU25" i="13"/>
  <c r="AK26" i="13" s="1"/>
  <c r="AR25" i="13"/>
  <c r="AS24" i="13"/>
  <c r="BA25" i="13"/>
  <c r="AJ22" i="11"/>
  <c r="F9" i="2" s="1" a="1"/>
  <c r="F9" i="2" s="1"/>
  <c r="AB23" i="11"/>
  <c r="AC23" i="11" s="1"/>
  <c r="AE23" i="11"/>
  <c r="AI23" i="11" s="1"/>
  <c r="BB23" i="11"/>
  <c r="BA24" i="11"/>
  <c r="AS23" i="11"/>
  <c r="BK24" i="11"/>
  <c r="AT24" i="11"/>
  <c r="AQ24" i="11"/>
  <c r="AZ25" i="11" s="1"/>
  <c r="AP24" i="11"/>
  <c r="AA24" i="11"/>
  <c r="AG25" i="11" s="1"/>
  <c r="AO24" i="11"/>
  <c r="Z24" i="11"/>
  <c r="AR24" i="11"/>
  <c r="AY24" i="11"/>
  <c r="BL24" i="11" s="1"/>
  <c r="Y24" i="11"/>
  <c r="AD24" i="11"/>
  <c r="AU24" i="11"/>
  <c r="AK25" i="11" s="1"/>
  <c r="AV24" i="11"/>
  <c r="BJ24" i="11" s="1"/>
  <c r="AJ22" i="10"/>
  <c r="AB23" i="10"/>
  <c r="AC23" i="10" s="1"/>
  <c r="AE23" i="10"/>
  <c r="AI23" i="10" s="1"/>
  <c r="BB23" i="10"/>
  <c r="AS23" i="10"/>
  <c r="BC22" i="10"/>
  <c r="Z24" i="10"/>
  <c r="Y24" i="10"/>
  <c r="AQ24" i="10"/>
  <c r="AP24" i="10"/>
  <c r="AO24" i="10"/>
  <c r="AD24" i="10"/>
  <c r="AA24" i="10"/>
  <c r="AH25" i="10" s="1"/>
  <c r="AT24" i="10"/>
  <c r="AU24" i="10"/>
  <c r="AK25" i="10" s="1"/>
  <c r="AR24" i="10"/>
  <c r="AV24" i="10"/>
  <c r="BJ24" i="10" s="1"/>
  <c r="AY24" i="10"/>
  <c r="BA24" i="10"/>
  <c r="BN23" i="13"/>
  <c r="BV23" i="13" s="1"/>
  <c r="BY23" i="13" s="1"/>
  <c r="BN22" i="12"/>
  <c r="BV22" i="12" s="1"/>
  <c r="BY22" i="12" s="1"/>
  <c r="BI24" i="13"/>
  <c r="BR25" i="13"/>
  <c r="BM25" i="13"/>
  <c r="V25" i="13"/>
  <c r="AW26" i="13"/>
  <c r="BT25" i="13"/>
  <c r="BP25" i="13"/>
  <c r="BO25" i="13"/>
  <c r="BH24" i="13"/>
  <c r="BU24" i="13"/>
  <c r="BN22" i="11"/>
  <c r="BV22" i="11" s="1"/>
  <c r="BY22" i="11" s="1"/>
  <c r="BB23" i="12"/>
  <c r="BH23" i="12"/>
  <c r="BC22" i="12"/>
  <c r="AS23" i="12"/>
  <c r="BI23" i="12"/>
  <c r="AE23" i="12"/>
  <c r="AI23" i="12" s="1"/>
  <c r="AB23" i="12"/>
  <c r="AC23" i="12" s="1"/>
  <c r="BU23" i="12"/>
  <c r="AJ22" i="12"/>
  <c r="AM22" i="12" s="1"/>
  <c r="BO24" i="12"/>
  <c r="AY24" i="12"/>
  <c r="BL24" i="12" s="1"/>
  <c r="BM24" i="12"/>
  <c r="BK24" i="12"/>
  <c r="V24" i="12"/>
  <c r="AV24" i="12"/>
  <c r="AD24" i="12"/>
  <c r="BR24" i="12"/>
  <c r="AP24" i="12"/>
  <c r="AA24" i="12"/>
  <c r="AG25" i="12" s="1"/>
  <c r="AO24" i="12"/>
  <c r="Z24" i="12"/>
  <c r="Y24" i="12"/>
  <c r="AW25" i="12"/>
  <c r="AT24" i="12"/>
  <c r="AR24" i="12"/>
  <c r="AQ24" i="12"/>
  <c r="BT24" i="12"/>
  <c r="BP24" i="12"/>
  <c r="AU24" i="12"/>
  <c r="BH23" i="11"/>
  <c r="BI23" i="11"/>
  <c r="BY21" i="11"/>
  <c r="BJ23" i="11"/>
  <c r="BU23" i="11"/>
  <c r="BT24" i="11"/>
  <c r="BM24" i="11"/>
  <c r="V24" i="11"/>
  <c r="BR24" i="11"/>
  <c r="BP24" i="11"/>
  <c r="AW25" i="11"/>
  <c r="BO24" i="11"/>
  <c r="BI23" i="10"/>
  <c r="BH23" i="10"/>
  <c r="BJ23" i="10"/>
  <c r="BU23" i="10"/>
  <c r="BO24" i="10"/>
  <c r="BM24" i="10"/>
  <c r="V24" i="10"/>
  <c r="BR24" i="10"/>
  <c r="BP24" i="10"/>
  <c r="BT24" i="10"/>
  <c r="BN22" i="10"/>
  <c r="BV22" i="10" s="1"/>
  <c r="BY22" i="10" s="1"/>
  <c r="BV21" i="10"/>
  <c r="BV21" i="9"/>
  <c r="BU23" i="9"/>
  <c r="BN22" i="9"/>
  <c r="BV22" i="9" s="1"/>
  <c r="BY22" i="9" s="1"/>
  <c r="BH23" i="9"/>
  <c r="BN23" i="9" s="1"/>
  <c r="BR24" i="9"/>
  <c r="AW25" i="9"/>
  <c r="BP24" i="9"/>
  <c r="BO24" i="9"/>
  <c r="BM24" i="9"/>
  <c r="V24" i="9"/>
  <c r="BY21" i="9" l="1"/>
  <c r="BY21" i="10"/>
  <c r="AZ25" i="9"/>
  <c r="AG26" i="13"/>
  <c r="AG25" i="9"/>
  <c r="AZ25" i="10"/>
  <c r="AW25" i="10"/>
  <c r="AX25" i="10"/>
  <c r="AG25" i="10"/>
  <c r="AF25" i="10"/>
  <c r="D9" i="2" a="1"/>
  <c r="D9" i="2" s="1"/>
  <c r="J9" i="2" a="1"/>
  <c r="J9" i="2" s="1"/>
  <c r="E9" i="2" a="1"/>
  <c r="E9" i="2" s="1"/>
  <c r="K9" i="2" a="1"/>
  <c r="K9" i="2" s="1"/>
  <c r="AF26" i="13"/>
  <c r="BT25" i="9" a="1"/>
  <c r="BT25" i="9" s="1"/>
  <c r="AF25" i="11"/>
  <c r="AF25" i="12"/>
  <c r="AM22" i="11"/>
  <c r="H9" i="2" a="1"/>
  <c r="H9" i="2" s="1"/>
  <c r="BD22" i="11"/>
  <c r="I9" i="2" a="1"/>
  <c r="I9" i="2" s="1"/>
  <c r="BD22" i="9"/>
  <c r="BA25" i="11"/>
  <c r="AM23" i="13"/>
  <c r="BD22" i="10"/>
  <c r="BD23" i="13"/>
  <c r="AM22" i="10"/>
  <c r="BA25" i="9"/>
  <c r="BC23" i="9"/>
  <c r="M10" i="2" s="1" a="1"/>
  <c r="M10" i="2" s="1"/>
  <c r="BA25" i="12"/>
  <c r="AS24" i="9"/>
  <c r="BB24" i="9"/>
  <c r="AB24" i="9"/>
  <c r="AC24" i="9" s="1"/>
  <c r="AO25" i="9"/>
  <c r="AD25" i="9"/>
  <c r="Z25" i="9"/>
  <c r="Y25" i="9"/>
  <c r="AT25" i="9"/>
  <c r="AP25" i="9"/>
  <c r="AA25" i="9"/>
  <c r="AG26" i="9" s="1"/>
  <c r="AQ25" i="9"/>
  <c r="AZ26" i="9" s="1"/>
  <c r="BK25" i="9"/>
  <c r="AY25" i="9"/>
  <c r="BL25" i="9" s="1"/>
  <c r="AV25" i="9"/>
  <c r="BJ25" i="9" s="1"/>
  <c r="AR25" i="9"/>
  <c r="AU25" i="9"/>
  <c r="AK26" i="9" s="1"/>
  <c r="BV23" i="9"/>
  <c r="BY23" i="9" s="1"/>
  <c r="AB25" i="13"/>
  <c r="AC25" i="13" s="1"/>
  <c r="AE25" i="13"/>
  <c r="AI25" i="13" s="1"/>
  <c r="AJ24" i="13"/>
  <c r="Z26" i="13"/>
  <c r="Y26" i="13"/>
  <c r="AT26" i="13"/>
  <c r="AQ26" i="13"/>
  <c r="AZ27" i="13" s="1"/>
  <c r="AP26" i="13"/>
  <c r="AO26" i="13"/>
  <c r="AD26" i="13"/>
  <c r="AA26" i="13"/>
  <c r="AV26" i="13"/>
  <c r="BJ26" i="13" s="1"/>
  <c r="BK26" i="13"/>
  <c r="AY26" i="13"/>
  <c r="BL26" i="13" s="1"/>
  <c r="AU26" i="13"/>
  <c r="AR26" i="13"/>
  <c r="BC24" i="13"/>
  <c r="BN24" i="13"/>
  <c r="BV24" i="13" s="1"/>
  <c r="BY24" i="13" s="1"/>
  <c r="AS25" i="13"/>
  <c r="BB25" i="13"/>
  <c r="BA26" i="13"/>
  <c r="BI24" i="11"/>
  <c r="AS24" i="11"/>
  <c r="BC23" i="11"/>
  <c r="G10" i="2" s="1" a="1"/>
  <c r="G10" i="2" s="1"/>
  <c r="BB24" i="11"/>
  <c r="AB24" i="11"/>
  <c r="AC24" i="11" s="1"/>
  <c r="AE24" i="11"/>
  <c r="AI24" i="11" s="1"/>
  <c r="AJ23" i="11"/>
  <c r="F10" i="2" s="1" a="1"/>
  <c r="F10" i="2" s="1"/>
  <c r="AA25" i="11"/>
  <c r="AG26" i="11" s="1"/>
  <c r="Z25" i="11"/>
  <c r="AT25" i="11"/>
  <c r="AR25" i="11"/>
  <c r="AQ25" i="11"/>
  <c r="AZ26" i="11" s="1"/>
  <c r="AY25" i="11"/>
  <c r="BL25" i="11" s="1"/>
  <c r="Y25" i="11"/>
  <c r="AP25" i="11"/>
  <c r="BK25" i="11"/>
  <c r="AO25" i="11"/>
  <c r="AD25" i="11"/>
  <c r="AU25" i="11"/>
  <c r="AK26" i="11" s="1"/>
  <c r="AV25" i="11"/>
  <c r="BJ25" i="11" s="1"/>
  <c r="BC23" i="10"/>
  <c r="AD25" i="10"/>
  <c r="Y25" i="10"/>
  <c r="AA25" i="10"/>
  <c r="Z25" i="10"/>
  <c r="AT25" i="10"/>
  <c r="AQ25" i="10"/>
  <c r="AO25" i="10"/>
  <c r="AP25" i="10"/>
  <c r="AR25" i="10"/>
  <c r="AU25" i="10"/>
  <c r="AV25" i="10"/>
  <c r="BJ25" i="10" s="1"/>
  <c r="AY25" i="10"/>
  <c r="BL25" i="10" s="1"/>
  <c r="BB24" i="10"/>
  <c r="AJ23" i="10"/>
  <c r="AS24" i="10"/>
  <c r="BA25" i="10"/>
  <c r="BL24" i="10"/>
  <c r="AB24" i="10"/>
  <c r="AC24" i="10" s="1"/>
  <c r="AE24" i="10"/>
  <c r="AI24" i="10" s="1"/>
  <c r="BH25" i="13"/>
  <c r="BI25" i="13"/>
  <c r="BU25" i="13"/>
  <c r="AW27" i="13"/>
  <c r="BP26" i="13"/>
  <c r="BO26" i="13"/>
  <c r="BT26" i="13"/>
  <c r="V26" i="13"/>
  <c r="BR26" i="13"/>
  <c r="BM26" i="13"/>
  <c r="AS24" i="12"/>
  <c r="AJ23" i="12"/>
  <c r="AM23" i="12" s="1"/>
  <c r="AB24" i="12"/>
  <c r="AC24" i="12" s="1"/>
  <c r="AE24" i="12"/>
  <c r="AI24" i="12" s="1"/>
  <c r="BU24" i="12"/>
  <c r="BI24" i="12"/>
  <c r="AK25" i="12"/>
  <c r="BJ24" i="12"/>
  <c r="BC23" i="12"/>
  <c r="BD23" i="12" s="1"/>
  <c r="BH24" i="12"/>
  <c r="BB24" i="12"/>
  <c r="BM25" i="12"/>
  <c r="BK25" i="12"/>
  <c r="V25" i="12"/>
  <c r="AV25" i="12"/>
  <c r="BJ25" i="12" s="1"/>
  <c r="AU25" i="12"/>
  <c r="AT25" i="12"/>
  <c r="AQ25" i="12"/>
  <c r="AW26" i="12"/>
  <c r="BP25" i="12"/>
  <c r="Y25" i="12"/>
  <c r="BO25" i="12"/>
  <c r="BR25" i="12"/>
  <c r="AD25" i="12"/>
  <c r="Z25" i="12"/>
  <c r="AA25" i="12"/>
  <c r="AG26" i="12" s="1"/>
  <c r="AY25" i="12"/>
  <c r="BL25" i="12" s="1"/>
  <c r="AR25" i="12"/>
  <c r="BT25" i="12"/>
  <c r="AP25" i="12"/>
  <c r="AO25" i="12"/>
  <c r="BD22" i="12"/>
  <c r="BN23" i="12"/>
  <c r="BU24" i="11"/>
  <c r="BT25" i="11"/>
  <c r="BR25" i="11"/>
  <c r="BO25" i="11"/>
  <c r="AW26" i="11"/>
  <c r="BP25" i="11"/>
  <c r="BM25" i="11"/>
  <c r="V25" i="11"/>
  <c r="BN23" i="11"/>
  <c r="BH24" i="11"/>
  <c r="BN23" i="10"/>
  <c r="BV23" i="10" s="1"/>
  <c r="BY23" i="10" s="1"/>
  <c r="BI24" i="10"/>
  <c r="BM25" i="10"/>
  <c r="BK25" i="10"/>
  <c r="V25" i="10"/>
  <c r="BP25" i="10"/>
  <c r="BO25" i="10"/>
  <c r="BT25" i="10"/>
  <c r="BR25" i="10"/>
  <c r="BK24" i="10"/>
  <c r="BU24" i="10"/>
  <c r="BH24" i="10"/>
  <c r="BH24" i="9"/>
  <c r="BI24" i="9"/>
  <c r="BU24" i="9"/>
  <c r="BJ24" i="9"/>
  <c r="AW26" i="9"/>
  <c r="BP25" i="9"/>
  <c r="BO25" i="9"/>
  <c r="BM25" i="9"/>
  <c r="V25" i="9"/>
  <c r="BR25" i="9"/>
  <c r="AH26" i="10" l="1"/>
  <c r="AG27" i="13"/>
  <c r="AG26" i="10"/>
  <c r="AZ26" i="10"/>
  <c r="AW26" i="10"/>
  <c r="BK26" i="10" s="1"/>
  <c r="AX26" i="10"/>
  <c r="AF26" i="12"/>
  <c r="BD23" i="11"/>
  <c r="I10" i="2" a="1"/>
  <c r="I10" i="2" s="1"/>
  <c r="BT26" i="9" a="1"/>
  <c r="BT26" i="9" s="1"/>
  <c r="D10" i="2" a="1"/>
  <c r="D10" i="2" s="1"/>
  <c r="J10" i="2" a="1"/>
  <c r="J10" i="2" s="1"/>
  <c r="AF26" i="11"/>
  <c r="AM23" i="11"/>
  <c r="H10" i="2" a="1"/>
  <c r="H10" i="2" s="1"/>
  <c r="BA26" i="10"/>
  <c r="AF27" i="13"/>
  <c r="E10" i="2" a="1"/>
  <c r="E10" i="2" s="1"/>
  <c r="K10" i="2" a="1"/>
  <c r="K10" i="2" s="1"/>
  <c r="AF26" i="10"/>
  <c r="BN24" i="11"/>
  <c r="BV24" i="11" s="1"/>
  <c r="BY24" i="11" s="1"/>
  <c r="BD23" i="9"/>
  <c r="AM24" i="13"/>
  <c r="BD23" i="10"/>
  <c r="BD24" i="13"/>
  <c r="AM23" i="10"/>
  <c r="BC24" i="9"/>
  <c r="M11" i="2" s="1" a="1"/>
  <c r="M11" i="2" s="1"/>
  <c r="AS25" i="10"/>
  <c r="BC24" i="11"/>
  <c r="G11" i="2" s="1" a="1"/>
  <c r="G11" i="2" s="1"/>
  <c r="AS25" i="11"/>
  <c r="BB25" i="9"/>
  <c r="AS25" i="9"/>
  <c r="AT26" i="9"/>
  <c r="AQ26" i="9"/>
  <c r="AZ27" i="9" s="1"/>
  <c r="AD26" i="9"/>
  <c r="AP26" i="9"/>
  <c r="AA26" i="9"/>
  <c r="AG27" i="9" s="1"/>
  <c r="AO26" i="9"/>
  <c r="Z26" i="9"/>
  <c r="Y26" i="9"/>
  <c r="BK26" i="9"/>
  <c r="AV26" i="9"/>
  <c r="BJ26" i="9" s="1"/>
  <c r="AU26" i="9"/>
  <c r="AK27" i="9" s="1"/>
  <c r="AY26" i="9"/>
  <c r="BL26" i="9" s="1"/>
  <c r="AR26" i="9"/>
  <c r="BA26" i="9"/>
  <c r="AB25" i="9"/>
  <c r="AC25" i="9" s="1"/>
  <c r="AS26" i="13"/>
  <c r="BC25" i="13"/>
  <c r="BB26" i="13"/>
  <c r="AK27" i="13"/>
  <c r="AB26" i="13"/>
  <c r="AC26" i="13" s="1"/>
  <c r="AE26" i="13"/>
  <c r="AI26" i="13" s="1"/>
  <c r="AD27" i="13"/>
  <c r="AT27" i="13"/>
  <c r="Z27" i="13"/>
  <c r="Y27" i="13"/>
  <c r="AQ27" i="13"/>
  <c r="AZ28" i="13" s="1"/>
  <c r="AA27" i="13"/>
  <c r="AP27" i="13"/>
  <c r="AO27" i="13"/>
  <c r="BK27" i="13"/>
  <c r="AY27" i="13"/>
  <c r="BL27" i="13" s="1"/>
  <c r="AU27" i="13"/>
  <c r="AV27" i="13"/>
  <c r="BJ27" i="13" s="1"/>
  <c r="AR27" i="13"/>
  <c r="AJ25" i="13"/>
  <c r="BA27" i="13"/>
  <c r="AJ24" i="11"/>
  <c r="F11" i="2" s="1" a="1"/>
  <c r="F11" i="2" s="1"/>
  <c r="BA26" i="11"/>
  <c r="AE25" i="11"/>
  <c r="AI25" i="11" s="1"/>
  <c r="AB25" i="11"/>
  <c r="AC25" i="11" s="1"/>
  <c r="Z26" i="11"/>
  <c r="AP26" i="11"/>
  <c r="AY26" i="11"/>
  <c r="BL26" i="11" s="1"/>
  <c r="Y26" i="11"/>
  <c r="AO26" i="11"/>
  <c r="BK26" i="11"/>
  <c r="AD26" i="11"/>
  <c r="AT26" i="11"/>
  <c r="AR26" i="11"/>
  <c r="AQ26" i="11"/>
  <c r="AZ27" i="11" s="1"/>
  <c r="AA26" i="11"/>
  <c r="AG27" i="11" s="1"/>
  <c r="AU26" i="11"/>
  <c r="AV26" i="11"/>
  <c r="BJ26" i="11" s="1"/>
  <c r="BB25" i="11"/>
  <c r="BB25" i="12"/>
  <c r="BC24" i="12"/>
  <c r="BD24" i="12" s="1"/>
  <c r="BA26" i="12"/>
  <c r="AK26" i="10"/>
  <c r="AJ24" i="10"/>
  <c r="AB25" i="10"/>
  <c r="AC25" i="10" s="1"/>
  <c r="AE25" i="10"/>
  <c r="AI25" i="10" s="1"/>
  <c r="BC24" i="10"/>
  <c r="BB25" i="10"/>
  <c r="AQ26" i="10"/>
  <c r="AA26" i="10"/>
  <c r="AH27" i="10" s="1"/>
  <c r="AP26" i="10"/>
  <c r="AO26" i="10"/>
  <c r="AD26" i="10"/>
  <c r="Z26" i="10"/>
  <c r="Y26" i="10"/>
  <c r="AT26" i="10"/>
  <c r="AU26" i="10"/>
  <c r="AK27" i="10" s="1"/>
  <c r="AR26" i="10"/>
  <c r="AV26" i="10"/>
  <c r="BJ26" i="10" s="1"/>
  <c r="AY26" i="10"/>
  <c r="BL26" i="10" s="1"/>
  <c r="BT27" i="13"/>
  <c r="BP27" i="13"/>
  <c r="BO27" i="13"/>
  <c r="AW28" i="13"/>
  <c r="V27" i="13"/>
  <c r="BR27" i="13"/>
  <c r="BM27" i="13"/>
  <c r="BI26" i="13"/>
  <c r="BN25" i="13"/>
  <c r="BV25" i="13" s="1"/>
  <c r="BY25" i="13" s="1"/>
  <c r="BU26" i="13"/>
  <c r="BH26" i="13"/>
  <c r="AJ24" i="12"/>
  <c r="AM24" i="12" s="1"/>
  <c r="BN24" i="12"/>
  <c r="BV24" i="12" s="1"/>
  <c r="BY24" i="12" s="1"/>
  <c r="BU25" i="12"/>
  <c r="AS25" i="12"/>
  <c r="AU26" i="12"/>
  <c r="AT26" i="12"/>
  <c r="AD26" i="12"/>
  <c r="BT26" i="12"/>
  <c r="AR26" i="12"/>
  <c r="AO26" i="12"/>
  <c r="Z26" i="12"/>
  <c r="AY26" i="12"/>
  <c r="BL26" i="12" s="1"/>
  <c r="BM26" i="12"/>
  <c r="BK26" i="12"/>
  <c r="V26" i="12"/>
  <c r="AQ26" i="12"/>
  <c r="AP26" i="12"/>
  <c r="BP26" i="12"/>
  <c r="BR26" i="12"/>
  <c r="BO26" i="12"/>
  <c r="AA26" i="12"/>
  <c r="AG27" i="12" s="1"/>
  <c r="Y26" i="12"/>
  <c r="AW27" i="12"/>
  <c r="AV26" i="12"/>
  <c r="BJ26" i="12" s="1"/>
  <c r="BH25" i="12"/>
  <c r="BI25" i="12"/>
  <c r="AK26" i="12"/>
  <c r="BV23" i="12"/>
  <c r="BY23" i="12" s="1"/>
  <c r="AE25" i="12"/>
  <c r="AI25" i="12" s="1"/>
  <c r="AB25" i="12"/>
  <c r="AC25" i="12" s="1"/>
  <c r="BV23" i="11"/>
  <c r="BR26" i="11"/>
  <c r="AW27" i="11"/>
  <c r="BP26" i="11"/>
  <c r="BM26" i="11"/>
  <c r="V26" i="11"/>
  <c r="BT26" i="11"/>
  <c r="BO26" i="11"/>
  <c r="BI25" i="11"/>
  <c r="BU25" i="11"/>
  <c r="BH25" i="11"/>
  <c r="BU25" i="10"/>
  <c r="BT26" i="10"/>
  <c r="BM26" i="10"/>
  <c r="V26" i="10"/>
  <c r="BR26" i="10"/>
  <c r="BP26" i="10"/>
  <c r="BO26" i="10"/>
  <c r="BN24" i="10"/>
  <c r="BH25" i="10"/>
  <c r="BI25" i="10"/>
  <c r="BN24" i="9"/>
  <c r="BV24" i="9" s="1"/>
  <c r="BY24" i="9" s="1"/>
  <c r="BM26" i="9"/>
  <c r="V26" i="9"/>
  <c r="BR26" i="9"/>
  <c r="BP26" i="9"/>
  <c r="BO26" i="9"/>
  <c r="AW27" i="9"/>
  <c r="BI25" i="9"/>
  <c r="BH25" i="9"/>
  <c r="BU25" i="9"/>
  <c r="AG28" i="13" l="1"/>
  <c r="AG27" i="10"/>
  <c r="AZ27" i="10"/>
  <c r="AW27" i="10"/>
  <c r="BK27" i="10" s="1"/>
  <c r="AX27" i="10"/>
  <c r="E11" i="2" a="1"/>
  <c r="E11" i="2" s="1"/>
  <c r="K11" i="2" a="1"/>
  <c r="K11" i="2" s="1"/>
  <c r="AF27" i="10"/>
  <c r="BD24" i="11"/>
  <c r="I11" i="2" a="1"/>
  <c r="I11" i="2" s="1"/>
  <c r="AF27" i="11"/>
  <c r="BT27" i="9" a="1"/>
  <c r="BT27" i="9" s="1"/>
  <c r="D11" i="2" a="1"/>
  <c r="D11" i="2" s="1"/>
  <c r="J11" i="2" a="1"/>
  <c r="J11" i="2" s="1"/>
  <c r="AF27" i="12"/>
  <c r="AF28" i="13"/>
  <c r="AM24" i="11"/>
  <c r="H11" i="2" a="1"/>
  <c r="H11" i="2" s="1"/>
  <c r="BC25" i="11"/>
  <c r="G12" i="2" s="1" a="1"/>
  <c r="G12" i="2" s="1"/>
  <c r="BD24" i="9"/>
  <c r="AM25" i="13"/>
  <c r="BD24" i="10"/>
  <c r="BD25" i="13"/>
  <c r="AM24" i="10"/>
  <c r="BA27" i="10"/>
  <c r="BC25" i="9"/>
  <c r="M12" i="2" s="1" a="1"/>
  <c r="M12" i="2" s="1"/>
  <c r="BC25" i="10"/>
  <c r="AS26" i="9"/>
  <c r="BA27" i="11"/>
  <c r="BB26" i="9"/>
  <c r="AB26" i="9"/>
  <c r="AC26" i="9" s="1"/>
  <c r="AQ27" i="9"/>
  <c r="AZ28" i="9" s="1"/>
  <c r="AP27" i="9"/>
  <c r="AT27" i="9"/>
  <c r="AO27" i="9"/>
  <c r="AD27" i="9"/>
  <c r="AA27" i="9"/>
  <c r="AG28" i="9" s="1"/>
  <c r="Y27" i="9"/>
  <c r="Z27" i="9"/>
  <c r="BK27" i="9"/>
  <c r="AR27" i="9"/>
  <c r="AU27" i="9"/>
  <c r="AK28" i="9" s="1"/>
  <c r="AV27" i="9"/>
  <c r="BJ27" i="9" s="1"/>
  <c r="AY27" i="9"/>
  <c r="BL27" i="9" s="1"/>
  <c r="BA27" i="9"/>
  <c r="BC26" i="13"/>
  <c r="AS27" i="13"/>
  <c r="AQ28" i="13"/>
  <c r="AZ29" i="13" s="1"/>
  <c r="AP28" i="13"/>
  <c r="AD28" i="13"/>
  <c r="AA28" i="13"/>
  <c r="Y28" i="13"/>
  <c r="Z28" i="13"/>
  <c r="AT28" i="13"/>
  <c r="AO28" i="13"/>
  <c r="BK28" i="13"/>
  <c r="AV28" i="13"/>
  <c r="BJ28" i="13" s="1"/>
  <c r="AU28" i="13"/>
  <c r="AY28" i="13"/>
  <c r="BL28" i="13" s="1"/>
  <c r="AR28" i="13"/>
  <c r="BB27" i="13"/>
  <c r="AK28" i="13"/>
  <c r="AB27" i="13"/>
  <c r="AC27" i="13" s="1"/>
  <c r="AE27" i="13"/>
  <c r="AI27" i="13" s="1"/>
  <c r="AJ26" i="13"/>
  <c r="BA28" i="13"/>
  <c r="AJ25" i="11"/>
  <c r="F12" i="2" s="1" a="1"/>
  <c r="F12" i="2" s="1"/>
  <c r="BK27" i="11"/>
  <c r="Y27" i="11"/>
  <c r="AT27" i="11"/>
  <c r="AD27" i="11"/>
  <c r="AR27" i="11"/>
  <c r="AP27" i="11"/>
  <c r="AO27" i="11"/>
  <c r="AQ27" i="11"/>
  <c r="AZ28" i="11" s="1"/>
  <c r="AY27" i="11"/>
  <c r="BL27" i="11" s="1"/>
  <c r="AA27" i="11"/>
  <c r="AG28" i="11" s="1"/>
  <c r="Z27" i="11"/>
  <c r="AV27" i="11"/>
  <c r="BJ27" i="11" s="1"/>
  <c r="AU27" i="11"/>
  <c r="AS26" i="11"/>
  <c r="AE26" i="11"/>
  <c r="AI26" i="11" s="1"/>
  <c r="AB26" i="11"/>
  <c r="AC26" i="11" s="1"/>
  <c r="AK27" i="11"/>
  <c r="BB26" i="11"/>
  <c r="BA27" i="12"/>
  <c r="AP27" i="10"/>
  <c r="AT27" i="10"/>
  <c r="AQ27" i="10"/>
  <c r="AD27" i="10"/>
  <c r="AA27" i="10"/>
  <c r="Z27" i="10"/>
  <c r="AO27" i="10"/>
  <c r="Y27" i="10"/>
  <c r="AR27" i="10"/>
  <c r="AU27" i="10"/>
  <c r="AK28" i="10" s="1"/>
  <c r="AV27" i="10"/>
  <c r="BJ27" i="10" s="1"/>
  <c r="AY27" i="10"/>
  <c r="BL27" i="10" s="1"/>
  <c r="AJ25" i="10"/>
  <c r="BB26" i="10"/>
  <c r="AB26" i="10"/>
  <c r="AC26" i="10" s="1"/>
  <c r="AE26" i="10"/>
  <c r="AI26" i="10" s="1"/>
  <c r="AS26" i="10"/>
  <c r="BN26" i="13"/>
  <c r="BV26" i="13" s="1"/>
  <c r="BY26" i="13" s="1"/>
  <c r="BT28" i="13"/>
  <c r="BR28" i="13"/>
  <c r="BP28" i="13"/>
  <c r="BM28" i="13"/>
  <c r="BO28" i="13"/>
  <c r="V28" i="13"/>
  <c r="AW29" i="13"/>
  <c r="BU27" i="13"/>
  <c r="BI27" i="13"/>
  <c r="BH27" i="13"/>
  <c r="BN25" i="11"/>
  <c r="BV25" i="11" s="1"/>
  <c r="BY25" i="11" s="1"/>
  <c r="AS26" i="12"/>
  <c r="BN25" i="12"/>
  <c r="BV25" i="12" s="1"/>
  <c r="BY25" i="12" s="1"/>
  <c r="BU26" i="12"/>
  <c r="AJ25" i="12"/>
  <c r="AM25" i="12" s="1"/>
  <c r="BH26" i="12"/>
  <c r="BB26" i="12"/>
  <c r="BI26" i="12"/>
  <c r="AK27" i="12"/>
  <c r="AE26" i="12"/>
  <c r="AI26" i="12" s="1"/>
  <c r="AB26" i="12"/>
  <c r="BC25" i="12"/>
  <c r="BD25" i="12" s="1"/>
  <c r="BR27" i="12"/>
  <c r="AD27" i="12"/>
  <c r="AR27" i="12"/>
  <c r="BT27" i="12"/>
  <c r="AQ27" i="12"/>
  <c r="AP27" i="12"/>
  <c r="AA27" i="12"/>
  <c r="AG28" i="12" s="1"/>
  <c r="BO27" i="12"/>
  <c r="AV27" i="12"/>
  <c r="BJ27" i="12" s="1"/>
  <c r="AU27" i="12"/>
  <c r="V27" i="12"/>
  <c r="AO27" i="12"/>
  <c r="AY27" i="12"/>
  <c r="BL27" i="12" s="1"/>
  <c r="BK27" i="12"/>
  <c r="AW28" i="12"/>
  <c r="AT27" i="12"/>
  <c r="BP27" i="12"/>
  <c r="BM27" i="12"/>
  <c r="Z27" i="12"/>
  <c r="Y27" i="12"/>
  <c r="AC26" i="12"/>
  <c r="BI26" i="11"/>
  <c r="BH26" i="11"/>
  <c r="BU26" i="11"/>
  <c r="BY23" i="11"/>
  <c r="BP27" i="11"/>
  <c r="AW28" i="11"/>
  <c r="BO27" i="11"/>
  <c r="BT27" i="11"/>
  <c r="BR27" i="11"/>
  <c r="BM27" i="11"/>
  <c r="V27" i="11"/>
  <c r="BU26" i="10"/>
  <c r="BV24" i="10"/>
  <c r="BY24" i="10" s="1"/>
  <c r="BH26" i="10"/>
  <c r="BP27" i="10"/>
  <c r="BR27" i="10"/>
  <c r="BM27" i="10"/>
  <c r="V27" i="10"/>
  <c r="BT27" i="10"/>
  <c r="BO27" i="10"/>
  <c r="BI26" i="10"/>
  <c r="BN25" i="10"/>
  <c r="BV25" i="10" s="1"/>
  <c r="BY25" i="10" s="1"/>
  <c r="BN25" i="9"/>
  <c r="BV25" i="9" s="1"/>
  <c r="BY25" i="9" s="1"/>
  <c r="AW28" i="9"/>
  <c r="BP27" i="9"/>
  <c r="BM27" i="9"/>
  <c r="BR27" i="9"/>
  <c r="BO27" i="9"/>
  <c r="V27" i="9"/>
  <c r="BH26" i="9"/>
  <c r="BU26" i="9"/>
  <c r="BI26" i="9"/>
  <c r="AH28" i="10" l="1"/>
  <c r="AG29" i="13"/>
  <c r="AG28" i="10"/>
  <c r="AZ28" i="10"/>
  <c r="AW28" i="10"/>
  <c r="BK28" i="10" s="1"/>
  <c r="AX28" i="10"/>
  <c r="D12" i="2" a="1"/>
  <c r="D12" i="2" s="1"/>
  <c r="J12" i="2" a="1"/>
  <c r="J12" i="2" s="1"/>
  <c r="AF28" i="11"/>
  <c r="BD25" i="11"/>
  <c r="I12" i="2" a="1"/>
  <c r="I12" i="2" s="1"/>
  <c r="AF28" i="10"/>
  <c r="AF28" i="12"/>
  <c r="E12" i="2" a="1"/>
  <c r="E12" i="2" s="1"/>
  <c r="K12" i="2" a="1"/>
  <c r="K12" i="2" s="1"/>
  <c r="AM25" i="11"/>
  <c r="H12" i="2" a="1"/>
  <c r="H12" i="2" s="1"/>
  <c r="BT28" i="9" a="1"/>
  <c r="BT28" i="9" s="1"/>
  <c r="AF29" i="13"/>
  <c r="BD25" i="9"/>
  <c r="AM26" i="13"/>
  <c r="BD25" i="10"/>
  <c r="BD26" i="13"/>
  <c r="AM25" i="10"/>
  <c r="BA28" i="11"/>
  <c r="BC26" i="9"/>
  <c r="M13" i="2" s="1" a="1"/>
  <c r="M13" i="2" s="1"/>
  <c r="AJ26" i="11"/>
  <c r="F13" i="2" s="1" a="1"/>
  <c r="F13" i="2" s="1"/>
  <c r="AS27" i="11"/>
  <c r="BA28" i="12"/>
  <c r="AS27" i="10"/>
  <c r="BA28" i="9"/>
  <c r="AA28" i="9"/>
  <c r="AG29" i="9" s="1"/>
  <c r="Z28" i="9"/>
  <c r="Y28" i="9"/>
  <c r="AT28" i="9"/>
  <c r="AO28" i="9"/>
  <c r="AQ28" i="9"/>
  <c r="AZ29" i="9" s="1"/>
  <c r="AP28" i="9"/>
  <c r="AD28" i="9"/>
  <c r="BK28" i="9"/>
  <c r="AY28" i="9"/>
  <c r="BL28" i="9" s="1"/>
  <c r="AR28" i="9"/>
  <c r="AU28" i="9"/>
  <c r="AK29" i="9" s="1"/>
  <c r="AV28" i="9"/>
  <c r="BJ28" i="9" s="1"/>
  <c r="BB27" i="9"/>
  <c r="AS27" i="9"/>
  <c r="AB27" i="9"/>
  <c r="AC27" i="9" s="1"/>
  <c r="BN27" i="13"/>
  <c r="BV27" i="13" s="1"/>
  <c r="BY27" i="13" s="1"/>
  <c r="AB28" i="13"/>
  <c r="AC28" i="13" s="1"/>
  <c r="AE28" i="13"/>
  <c r="AI28" i="13" s="1"/>
  <c r="AJ27" i="13"/>
  <c r="AT29" i="13"/>
  <c r="AQ29" i="13"/>
  <c r="AZ30" i="13" s="1"/>
  <c r="AP29" i="13"/>
  <c r="AO29" i="13"/>
  <c r="AA29" i="13"/>
  <c r="AD29" i="13"/>
  <c r="Z29" i="13"/>
  <c r="Y29" i="13"/>
  <c r="BK29" i="13"/>
  <c r="AY29" i="13"/>
  <c r="BL29" i="13" s="1"/>
  <c r="AU29" i="13"/>
  <c r="AK30" i="13" s="1"/>
  <c r="AV29" i="13"/>
  <c r="BJ29" i="13" s="1"/>
  <c r="AR29" i="13"/>
  <c r="AS28" i="13"/>
  <c r="BC27" i="13"/>
  <c r="BB28" i="13"/>
  <c r="AK29" i="13"/>
  <c r="BA29" i="13"/>
  <c r="AB27" i="11"/>
  <c r="AC27" i="11" s="1"/>
  <c r="AE27" i="11"/>
  <c r="AI27" i="11" s="1"/>
  <c r="BB27" i="11"/>
  <c r="AK28" i="11"/>
  <c r="BC26" i="11"/>
  <c r="G13" i="2" s="1" a="1"/>
  <c r="G13" i="2" s="1"/>
  <c r="AT28" i="11"/>
  <c r="AA28" i="11"/>
  <c r="AG29" i="11" s="1"/>
  <c r="AR28" i="11"/>
  <c r="Z28" i="11"/>
  <c r="AQ28" i="11"/>
  <c r="AZ29" i="11" s="1"/>
  <c r="AD28" i="11"/>
  <c r="AP28" i="11"/>
  <c r="AO28" i="11"/>
  <c r="AY28" i="11"/>
  <c r="BL28" i="11" s="1"/>
  <c r="BK28" i="11"/>
  <c r="Y28" i="11"/>
  <c r="AV28" i="11"/>
  <c r="BJ28" i="11" s="1"/>
  <c r="AU28" i="11"/>
  <c r="BC26" i="12"/>
  <c r="BD26" i="12" s="1"/>
  <c r="Z28" i="10"/>
  <c r="Y28" i="10"/>
  <c r="AQ28" i="10"/>
  <c r="AP28" i="10"/>
  <c r="AO28" i="10"/>
  <c r="AA28" i="10"/>
  <c r="AH29" i="10" s="1"/>
  <c r="AT28" i="10"/>
  <c r="AD28" i="10"/>
  <c r="AR28" i="10"/>
  <c r="AU28" i="10"/>
  <c r="AK29" i="10" s="1"/>
  <c r="AV28" i="10"/>
  <c r="BJ28" i="10" s="1"/>
  <c r="AY28" i="10"/>
  <c r="BL28" i="10" s="1"/>
  <c r="AJ26" i="10"/>
  <c r="BC26" i="10"/>
  <c r="BA28" i="10"/>
  <c r="AB27" i="10"/>
  <c r="AC27" i="10" s="1"/>
  <c r="AE27" i="10"/>
  <c r="AI27" i="10" s="1"/>
  <c r="BB27" i="10"/>
  <c r="BU28" i="13"/>
  <c r="BT29" i="13"/>
  <c r="BR29" i="13"/>
  <c r="BP29" i="13"/>
  <c r="BO29" i="13"/>
  <c r="V29" i="13"/>
  <c r="AW30" i="13"/>
  <c r="BM29" i="13"/>
  <c r="BI28" i="13"/>
  <c r="BH28" i="13"/>
  <c r="BN26" i="11"/>
  <c r="BV26" i="11" s="1"/>
  <c r="BY26" i="11" s="1"/>
  <c r="AS27" i="12"/>
  <c r="BH27" i="12"/>
  <c r="BB27" i="12"/>
  <c r="BT28" i="12"/>
  <c r="AR28" i="12"/>
  <c r="BP28" i="12"/>
  <c r="Y28" i="12"/>
  <c r="AY28" i="12"/>
  <c r="BL28" i="12" s="1"/>
  <c r="BK28" i="12"/>
  <c r="AD28" i="12"/>
  <c r="Z28" i="12"/>
  <c r="AO28" i="12"/>
  <c r="V28" i="12"/>
  <c r="AW29" i="12"/>
  <c r="BO28" i="12"/>
  <c r="AA28" i="12"/>
  <c r="AG29" i="12" s="1"/>
  <c r="BR28" i="12"/>
  <c r="AV28" i="12"/>
  <c r="BJ28" i="12" s="1"/>
  <c r="AT28" i="12"/>
  <c r="AP28" i="12"/>
  <c r="AQ28" i="12"/>
  <c r="BM28" i="12"/>
  <c r="AU28" i="12"/>
  <c r="BN26" i="12"/>
  <c r="AJ26" i="12"/>
  <c r="AM26" i="12" s="1"/>
  <c r="BI27" i="12"/>
  <c r="AK28" i="12"/>
  <c r="AB27" i="12"/>
  <c r="AC27" i="12" s="1"/>
  <c r="AE27" i="12"/>
  <c r="AI27" i="12" s="1"/>
  <c r="BU27" i="12"/>
  <c r="BT28" i="11"/>
  <c r="BP28" i="11"/>
  <c r="V28" i="11"/>
  <c r="BO28" i="11"/>
  <c r="AW29" i="11"/>
  <c r="BM28" i="11"/>
  <c r="BR28" i="11"/>
  <c r="BH27" i="11"/>
  <c r="BI27" i="11"/>
  <c r="BU27" i="11"/>
  <c r="BI27" i="10"/>
  <c r="BM28" i="10"/>
  <c r="BP28" i="10"/>
  <c r="BT28" i="10"/>
  <c r="BR28" i="10"/>
  <c r="V28" i="10"/>
  <c r="BO28" i="10"/>
  <c r="BU27" i="10"/>
  <c r="BN26" i="10"/>
  <c r="BV26" i="10" s="1"/>
  <c r="BY26" i="10" s="1"/>
  <c r="BH27" i="10"/>
  <c r="BN26" i="9"/>
  <c r="BV26" i="9" s="1"/>
  <c r="BY26" i="9" s="1"/>
  <c r="BH27" i="9"/>
  <c r="BU27" i="9"/>
  <c r="AW29" i="9"/>
  <c r="V28" i="9"/>
  <c r="BP28" i="9"/>
  <c r="BR28" i="9"/>
  <c r="BM28" i="9"/>
  <c r="BO28" i="9"/>
  <c r="BI27" i="9"/>
  <c r="AG30" i="13" l="1"/>
  <c r="AZ29" i="10"/>
  <c r="AG29" i="10"/>
  <c r="AW29" i="10"/>
  <c r="BK29" i="10" s="1"/>
  <c r="AX29" i="10"/>
  <c r="BD26" i="11"/>
  <c r="I13" i="2" a="1"/>
  <c r="I13" i="2" s="1"/>
  <c r="BT29" i="9" a="1"/>
  <c r="BT29" i="9" s="1"/>
  <c r="AM26" i="11"/>
  <c r="H13" i="2" a="1"/>
  <c r="H13" i="2" s="1"/>
  <c r="AF29" i="11"/>
  <c r="AF30" i="13"/>
  <c r="AF29" i="12"/>
  <c r="AF29" i="10"/>
  <c r="E13" i="2" a="1"/>
  <c r="E13" i="2" s="1"/>
  <c r="K13" i="2" a="1"/>
  <c r="K13" i="2" s="1"/>
  <c r="D13" i="2" a="1"/>
  <c r="D13" i="2" s="1"/>
  <c r="J13" i="2" a="1"/>
  <c r="J13" i="2" s="1"/>
  <c r="BD26" i="9"/>
  <c r="BC27" i="10"/>
  <c r="AM27" i="13"/>
  <c r="BD26" i="10"/>
  <c r="BD27" i="13"/>
  <c r="AM26" i="10"/>
  <c r="BC27" i="9"/>
  <c r="M14" i="2" s="1" a="1"/>
  <c r="M14" i="2" s="1"/>
  <c r="BA29" i="12"/>
  <c r="BC27" i="11"/>
  <c r="G14" i="2" s="1" a="1"/>
  <c r="G14" i="2" s="1"/>
  <c r="BC28" i="13"/>
  <c r="AS29" i="13"/>
  <c r="AS28" i="10"/>
  <c r="BB28" i="9"/>
  <c r="BA29" i="9"/>
  <c r="AS28" i="9"/>
  <c r="AO29" i="9"/>
  <c r="AD29" i="9"/>
  <c r="Z29" i="9"/>
  <c r="Y29" i="9"/>
  <c r="AT29" i="9"/>
  <c r="AP29" i="9"/>
  <c r="AA29" i="9"/>
  <c r="AG30" i="9" s="1"/>
  <c r="AQ29" i="9"/>
  <c r="AZ30" i="9" s="1"/>
  <c r="BK29" i="9"/>
  <c r="AV29" i="9"/>
  <c r="BJ29" i="9" s="1"/>
  <c r="AY29" i="9"/>
  <c r="BL29" i="9" s="1"/>
  <c r="AU29" i="9"/>
  <c r="AK30" i="9" s="1"/>
  <c r="AR29" i="9"/>
  <c r="AB28" i="9"/>
  <c r="AC28" i="9" s="1"/>
  <c r="AB29" i="13"/>
  <c r="AC29" i="13" s="1"/>
  <c r="AE29" i="13"/>
  <c r="AI29" i="13" s="1"/>
  <c r="BB29" i="13"/>
  <c r="AJ28" i="13"/>
  <c r="Z30" i="13"/>
  <c r="Y30" i="13"/>
  <c r="AT30" i="13"/>
  <c r="AP30" i="13"/>
  <c r="AQ30" i="13"/>
  <c r="AZ31" i="13" s="1"/>
  <c r="AO30" i="13"/>
  <c r="AD30" i="13"/>
  <c r="AA30" i="13"/>
  <c r="BK30" i="13"/>
  <c r="AV30" i="13"/>
  <c r="BJ30" i="13" s="1"/>
  <c r="AY30" i="13"/>
  <c r="BL30" i="13" s="1"/>
  <c r="AU30" i="13"/>
  <c r="AK31" i="13" s="1"/>
  <c r="AR30" i="13"/>
  <c r="BA30" i="13"/>
  <c r="AR29" i="11"/>
  <c r="AY29" i="11"/>
  <c r="BL29" i="11" s="1"/>
  <c r="AQ29" i="11"/>
  <c r="AZ30" i="11" s="1"/>
  <c r="AD29" i="11"/>
  <c r="AP29" i="11"/>
  <c r="AA29" i="11"/>
  <c r="AG30" i="11" s="1"/>
  <c r="AO29" i="11"/>
  <c r="Z29" i="11"/>
  <c r="Y29" i="11"/>
  <c r="BK29" i="11"/>
  <c r="AT29" i="11"/>
  <c r="AU29" i="11"/>
  <c r="AK30" i="11" s="1"/>
  <c r="AV29" i="11"/>
  <c r="BJ29" i="11" s="1"/>
  <c r="AS28" i="11"/>
  <c r="BB28" i="11"/>
  <c r="AK29" i="11"/>
  <c r="AJ27" i="11"/>
  <c r="F14" i="2" s="1" a="1"/>
  <c r="F14" i="2" s="1"/>
  <c r="AE28" i="11"/>
  <c r="AI28" i="11" s="1"/>
  <c r="AB28" i="11"/>
  <c r="AC28" i="11" s="1"/>
  <c r="BA29" i="11"/>
  <c r="BC27" i="12"/>
  <c r="BD27" i="12" s="1"/>
  <c r="BB28" i="12"/>
  <c r="AJ27" i="10"/>
  <c r="AB28" i="10"/>
  <c r="AC28" i="10" s="1"/>
  <c r="AE28" i="10"/>
  <c r="AI28" i="10" s="1"/>
  <c r="AD29" i="10"/>
  <c r="Y29" i="10"/>
  <c r="AA29" i="10"/>
  <c r="Z29" i="10"/>
  <c r="AT29" i="10"/>
  <c r="AQ29" i="10"/>
  <c r="AO29" i="10"/>
  <c r="AP29" i="10"/>
  <c r="AU29" i="10"/>
  <c r="AK30" i="10" s="1"/>
  <c r="AR29" i="10"/>
  <c r="AV29" i="10"/>
  <c r="BJ29" i="10" s="1"/>
  <c r="AY29" i="10"/>
  <c r="BL29" i="10" s="1"/>
  <c r="BA29" i="10"/>
  <c r="BB28" i="10"/>
  <c r="BN27" i="10"/>
  <c r="BV27" i="10" s="1"/>
  <c r="BY27" i="10" s="1"/>
  <c r="BH29" i="13"/>
  <c r="BR30" i="13"/>
  <c r="BP30" i="13"/>
  <c r="AW31" i="13"/>
  <c r="BT30" i="13"/>
  <c r="BO30" i="13"/>
  <c r="BM30" i="13"/>
  <c r="V30" i="13"/>
  <c r="BI29" i="13"/>
  <c r="BU29" i="13"/>
  <c r="BN28" i="13"/>
  <c r="BV28" i="13" s="1"/>
  <c r="BY28" i="13" s="1"/>
  <c r="BN27" i="11"/>
  <c r="BV27" i="11" s="1"/>
  <c r="BY27" i="11" s="1"/>
  <c r="BU28" i="11"/>
  <c r="AJ27" i="12"/>
  <c r="AM27" i="12" s="1"/>
  <c r="BH28" i="12"/>
  <c r="AE28" i="12"/>
  <c r="AI28" i="12" s="1"/>
  <c r="AB28" i="12"/>
  <c r="AC28" i="12" s="1"/>
  <c r="BV26" i="12"/>
  <c r="BY26" i="12" s="1"/>
  <c r="BU28" i="12"/>
  <c r="BM29" i="12"/>
  <c r="BT29" i="12"/>
  <c r="AR29" i="12"/>
  <c r="BR29" i="12"/>
  <c r="AO29" i="12"/>
  <c r="Z29" i="12"/>
  <c r="AW30" i="12"/>
  <c r="BP29" i="12"/>
  <c r="Y29" i="12"/>
  <c r="AP29" i="12"/>
  <c r="AY29" i="12"/>
  <c r="BL29" i="12" s="1"/>
  <c r="AD29" i="12"/>
  <c r="AT29" i="12"/>
  <c r="AA29" i="12"/>
  <c r="AG30" i="12" s="1"/>
  <c r="V29" i="12"/>
  <c r="BO29" i="12"/>
  <c r="BK29" i="12"/>
  <c r="AV29" i="12"/>
  <c r="BJ29" i="12" s="1"/>
  <c r="AQ29" i="12"/>
  <c r="AU29" i="12"/>
  <c r="BI28" i="12"/>
  <c r="AK29" i="12"/>
  <c r="AS28" i="12"/>
  <c r="BN27" i="12"/>
  <c r="BV27" i="12" s="1"/>
  <c r="BY27" i="12" s="1"/>
  <c r="BI28" i="11"/>
  <c r="BH28" i="11"/>
  <c r="BT29" i="11"/>
  <c r="AW30" i="11"/>
  <c r="BP29" i="11"/>
  <c r="BR29" i="11"/>
  <c r="BO29" i="11"/>
  <c r="V29" i="11"/>
  <c r="BM29" i="11"/>
  <c r="BM29" i="10"/>
  <c r="V29" i="10"/>
  <c r="BT29" i="10"/>
  <c r="BR29" i="10"/>
  <c r="BP29" i="10"/>
  <c r="BO29" i="10"/>
  <c r="BI28" i="10"/>
  <c r="BH28" i="10"/>
  <c r="BU28" i="10"/>
  <c r="BU28" i="9"/>
  <c r="V29" i="9"/>
  <c r="BP29" i="9"/>
  <c r="BR29" i="9"/>
  <c r="BO29" i="9"/>
  <c r="BM29" i="9"/>
  <c r="AW30" i="9"/>
  <c r="BN27" i="9"/>
  <c r="BV27" i="9" s="1"/>
  <c r="BY27" i="9" s="1"/>
  <c r="BI28" i="9"/>
  <c r="BH28" i="9"/>
  <c r="AH30" i="10" l="1"/>
  <c r="AG31" i="13"/>
  <c r="AG30" i="10"/>
  <c r="AZ30" i="10"/>
  <c r="AW30" i="10"/>
  <c r="BK30" i="10" s="1"/>
  <c r="AX30" i="10"/>
  <c r="D14" i="2" a="1"/>
  <c r="D14" i="2" s="1"/>
  <c r="J14" i="2" a="1"/>
  <c r="J14" i="2" s="1"/>
  <c r="BD27" i="11"/>
  <c r="I14" i="2" a="1"/>
  <c r="I14" i="2" s="1"/>
  <c r="AF30" i="10"/>
  <c r="AF30" i="12"/>
  <c r="AF31" i="13"/>
  <c r="AF30" i="11"/>
  <c r="AM27" i="11"/>
  <c r="H14" i="2" a="1"/>
  <c r="H14" i="2" s="1"/>
  <c r="BT30" i="9" a="1"/>
  <c r="BT30" i="9" s="1"/>
  <c r="E14" i="2" a="1"/>
  <c r="E14" i="2" s="1"/>
  <c r="K14" i="2" a="1"/>
  <c r="K14" i="2" s="1"/>
  <c r="BD27" i="10"/>
  <c r="BD27" i="9"/>
  <c r="BC29" i="13"/>
  <c r="BC28" i="11"/>
  <c r="G15" i="2" s="1" a="1"/>
  <c r="G15" i="2" s="1"/>
  <c r="AM28" i="13"/>
  <c r="BD28" i="13"/>
  <c r="AM27" i="10"/>
  <c r="BC28" i="10"/>
  <c r="BC28" i="9"/>
  <c r="M15" i="2" s="1" a="1"/>
  <c r="M15" i="2" s="1"/>
  <c r="AS29" i="11"/>
  <c r="BB29" i="9"/>
  <c r="AS29" i="9"/>
  <c r="BA30" i="9"/>
  <c r="AB29" i="9"/>
  <c r="AC29" i="9" s="1"/>
  <c r="AT30" i="9"/>
  <c r="AQ30" i="9"/>
  <c r="AZ31" i="9" s="1"/>
  <c r="AP30" i="9"/>
  <c r="AO30" i="9"/>
  <c r="AD30" i="9"/>
  <c r="AA30" i="9"/>
  <c r="AG31" i="9" s="1"/>
  <c r="Z30" i="9"/>
  <c r="Y30" i="9"/>
  <c r="BK30" i="9"/>
  <c r="AR30" i="9"/>
  <c r="AU30" i="9"/>
  <c r="AK31" i="9" s="1"/>
  <c r="AV30" i="9"/>
  <c r="BJ30" i="9" s="1"/>
  <c r="AY30" i="9"/>
  <c r="BL30" i="9" s="1"/>
  <c r="AS30" i="13"/>
  <c r="BB30" i="13"/>
  <c r="Z31" i="13"/>
  <c r="Y31" i="13"/>
  <c r="AQ31" i="13"/>
  <c r="AZ32" i="13" s="1"/>
  <c r="AT31" i="13"/>
  <c r="AP31" i="13"/>
  <c r="AD31" i="13"/>
  <c r="AO31" i="13"/>
  <c r="AA31" i="13"/>
  <c r="BK31" i="13"/>
  <c r="AU31" i="13"/>
  <c r="AK32" i="13" s="1"/>
  <c r="AY31" i="13"/>
  <c r="BL31" i="13" s="1"/>
  <c r="AV31" i="13"/>
  <c r="BJ31" i="13" s="1"/>
  <c r="AR31" i="13"/>
  <c r="AB30" i="13"/>
  <c r="AC30" i="13" s="1"/>
  <c r="AE30" i="13"/>
  <c r="AI30" i="13" s="1"/>
  <c r="AJ29" i="13"/>
  <c r="BA31" i="13"/>
  <c r="AJ28" i="11"/>
  <c r="F15" i="2" s="1" a="1"/>
  <c r="F15" i="2" s="1"/>
  <c r="BA30" i="11"/>
  <c r="AQ30" i="11"/>
  <c r="AZ31" i="11" s="1"/>
  <c r="AA30" i="11"/>
  <c r="AG31" i="11" s="1"/>
  <c r="AP30" i="11"/>
  <c r="AD30" i="11"/>
  <c r="Z30" i="11"/>
  <c r="AY30" i="11"/>
  <c r="BL30" i="11" s="1"/>
  <c r="AO30" i="11"/>
  <c r="Y30" i="11"/>
  <c r="BK30" i="11"/>
  <c r="AR30" i="11"/>
  <c r="AT30" i="11"/>
  <c r="AV30" i="11"/>
  <c r="BJ30" i="11" s="1"/>
  <c r="AU30" i="11"/>
  <c r="AK31" i="11" s="1"/>
  <c r="AE29" i="11"/>
  <c r="AI29" i="11" s="1"/>
  <c r="AB29" i="11"/>
  <c r="AC29" i="11" s="1"/>
  <c r="BB29" i="11"/>
  <c r="BA30" i="12"/>
  <c r="BC28" i="12"/>
  <c r="BD28" i="12" s="1"/>
  <c r="BA30" i="10"/>
  <c r="AQ30" i="10"/>
  <c r="AP30" i="10"/>
  <c r="AO30" i="10"/>
  <c r="AD30" i="10"/>
  <c r="Z30" i="10"/>
  <c r="Y30" i="10"/>
  <c r="AT30" i="10"/>
  <c r="AA30" i="10"/>
  <c r="AH31" i="10" s="1"/>
  <c r="AU30" i="10"/>
  <c r="AK31" i="10" s="1"/>
  <c r="AR30" i="10"/>
  <c r="AV30" i="10"/>
  <c r="BJ30" i="10" s="1"/>
  <c r="AY30" i="10"/>
  <c r="BB29" i="10"/>
  <c r="AJ28" i="10"/>
  <c r="AS29" i="10"/>
  <c r="AB29" i="10"/>
  <c r="AC29" i="10" s="1"/>
  <c r="AE29" i="10"/>
  <c r="AI29" i="10" s="1"/>
  <c r="BN28" i="10"/>
  <c r="BV28" i="10" s="1"/>
  <c r="BY28" i="10" s="1"/>
  <c r="BH30" i="13"/>
  <c r="BR31" i="13"/>
  <c r="AW32" i="13"/>
  <c r="BP31" i="13"/>
  <c r="BO31" i="13"/>
  <c r="BM31" i="13"/>
  <c r="V31" i="13"/>
  <c r="BT31" i="13"/>
  <c r="BU30" i="13"/>
  <c r="BI30" i="13"/>
  <c r="BN29" i="13"/>
  <c r="BV29" i="13" s="1"/>
  <c r="BY29" i="13" s="1"/>
  <c r="AS29" i="12"/>
  <c r="AJ28" i="12"/>
  <c r="AM28" i="12" s="1"/>
  <c r="AD30" i="12"/>
  <c r="BR30" i="12"/>
  <c r="AP30" i="12"/>
  <c r="AA30" i="12"/>
  <c r="AG31" i="12" s="1"/>
  <c r="BP30" i="12"/>
  <c r="Y30" i="12"/>
  <c r="BO30" i="12"/>
  <c r="AW31" i="12"/>
  <c r="AY30" i="12"/>
  <c r="BL30" i="12" s="1"/>
  <c r="BM30" i="12"/>
  <c r="Z30" i="12"/>
  <c r="BK30" i="12"/>
  <c r="AQ30" i="12"/>
  <c r="BT30" i="12"/>
  <c r="AO30" i="12"/>
  <c r="AT30" i="12"/>
  <c r="AR30" i="12"/>
  <c r="V30" i="12"/>
  <c r="AV30" i="12"/>
  <c r="BJ30" i="12" s="1"/>
  <c r="AU30" i="12"/>
  <c r="BU29" i="12"/>
  <c r="AB29" i="12"/>
  <c r="AC29" i="12" s="1"/>
  <c r="AE29" i="12"/>
  <c r="AI29" i="12" s="1"/>
  <c r="BB29" i="12"/>
  <c r="BH29" i="12"/>
  <c r="BN28" i="12"/>
  <c r="BV28" i="12" s="1"/>
  <c r="BY28" i="12" s="1"/>
  <c r="BI29" i="12"/>
  <c r="AK30" i="12"/>
  <c r="BN28" i="11"/>
  <c r="BV28" i="11" s="1"/>
  <c r="BY28" i="11" s="1"/>
  <c r="BH29" i="11"/>
  <c r="BU29" i="11"/>
  <c r="BR30" i="11"/>
  <c r="AW31" i="11"/>
  <c r="BO30" i="11"/>
  <c r="BM30" i="11"/>
  <c r="BT30" i="11"/>
  <c r="BP30" i="11"/>
  <c r="V30" i="11"/>
  <c r="BI29" i="11"/>
  <c r="BU29" i="10"/>
  <c r="BH29" i="10"/>
  <c r="BI29" i="10"/>
  <c r="BR30" i="10"/>
  <c r="BP30" i="10"/>
  <c r="BO30" i="10"/>
  <c r="V30" i="10"/>
  <c r="BT30" i="10"/>
  <c r="BM30" i="10"/>
  <c r="BI29" i="9"/>
  <c r="BR30" i="9"/>
  <c r="V30" i="9"/>
  <c r="BP30" i="9"/>
  <c r="BM30" i="9"/>
  <c r="AW31" i="9"/>
  <c r="BO30" i="9"/>
  <c r="BU29" i="9"/>
  <c r="BH29" i="9"/>
  <c r="BN28" i="9"/>
  <c r="BV28" i="9" s="1"/>
  <c r="BY28" i="9" s="1"/>
  <c r="AG32" i="13" l="1"/>
  <c r="AZ31" i="10"/>
  <c r="AG31" i="10"/>
  <c r="AW31" i="10"/>
  <c r="AX31" i="10"/>
  <c r="AF31" i="12"/>
  <c r="AF31" i="10"/>
  <c r="BK31" i="10"/>
  <c r="E15" i="2" a="1"/>
  <c r="E15" i="2" s="1"/>
  <c r="K15" i="2" a="1"/>
  <c r="K15" i="2" s="1"/>
  <c r="BD29" i="13"/>
  <c r="G16" i="2" a="1"/>
  <c r="G16" i="2" s="1"/>
  <c r="AF32" i="13"/>
  <c r="BT31" i="9" a="1"/>
  <c r="BT31" i="9" s="1"/>
  <c r="AM28" i="11"/>
  <c r="H15" i="2" a="1"/>
  <c r="H15" i="2" s="1"/>
  <c r="BD28" i="11"/>
  <c r="I15" i="2" a="1"/>
  <c r="I15" i="2" s="1"/>
  <c r="AF31" i="11"/>
  <c r="D15" i="2" a="1"/>
  <c r="D15" i="2" s="1"/>
  <c r="J15" i="2" a="1"/>
  <c r="J15" i="2" s="1"/>
  <c r="BD28" i="9"/>
  <c r="AS30" i="9"/>
  <c r="BC29" i="11"/>
  <c r="AM29" i="13"/>
  <c r="BD28" i="10"/>
  <c r="AM28" i="10"/>
  <c r="AS30" i="11"/>
  <c r="BC30" i="13"/>
  <c r="AQ31" i="9"/>
  <c r="AZ32" i="9" s="1"/>
  <c r="AP31" i="9"/>
  <c r="AO31" i="9"/>
  <c r="AA31" i="9"/>
  <c r="AG32" i="9" s="1"/>
  <c r="AD31" i="9"/>
  <c r="Y31" i="9"/>
  <c r="AT31" i="9"/>
  <c r="Z31" i="9"/>
  <c r="BK31" i="9"/>
  <c r="AY31" i="9"/>
  <c r="BL31" i="9" s="1"/>
  <c r="AR31" i="9"/>
  <c r="AU31" i="9"/>
  <c r="AK32" i="9" s="1"/>
  <c r="AV31" i="9"/>
  <c r="BJ31" i="9" s="1"/>
  <c r="BA31" i="9"/>
  <c r="BC29" i="9"/>
  <c r="M16" i="2" s="1" a="1"/>
  <c r="M16" i="2" s="1"/>
  <c r="AB30" i="9"/>
  <c r="AC30" i="9" s="1"/>
  <c r="BB30" i="9"/>
  <c r="AP32" i="13"/>
  <c r="AO32" i="13"/>
  <c r="AA32" i="13"/>
  <c r="Z32" i="13"/>
  <c r="Y32" i="13"/>
  <c r="AD32" i="13"/>
  <c r="AT32" i="13"/>
  <c r="AQ32" i="13"/>
  <c r="AZ33" i="13" s="1"/>
  <c r="BK32" i="13"/>
  <c r="AY32" i="13"/>
  <c r="BL32" i="13" s="1"/>
  <c r="AU32" i="13"/>
  <c r="AV32" i="13"/>
  <c r="BJ32" i="13" s="1"/>
  <c r="AR32" i="13"/>
  <c r="AJ30" i="13"/>
  <c r="BB31" i="13"/>
  <c r="AB31" i="13"/>
  <c r="AC31" i="13" s="1"/>
  <c r="AE31" i="13"/>
  <c r="AI31" i="13" s="1"/>
  <c r="AS31" i="13"/>
  <c r="BA32" i="13"/>
  <c r="AJ29" i="11"/>
  <c r="F16" i="2" s="1" a="1"/>
  <c r="F16" i="2" s="1"/>
  <c r="BA31" i="11"/>
  <c r="AP31" i="11"/>
  <c r="AY31" i="11"/>
  <c r="BL31" i="11" s="1"/>
  <c r="BK31" i="11"/>
  <c r="AO31" i="11"/>
  <c r="AT31" i="11"/>
  <c r="AA31" i="11"/>
  <c r="AG32" i="11" s="1"/>
  <c r="AD31" i="11"/>
  <c r="Z31" i="11"/>
  <c r="Y31" i="11"/>
  <c r="AQ31" i="11"/>
  <c r="AZ32" i="11" s="1"/>
  <c r="AR31" i="11"/>
  <c r="AV31" i="11"/>
  <c r="BJ31" i="11" s="1"/>
  <c r="AU31" i="11"/>
  <c r="AE30" i="11"/>
  <c r="AI30" i="11" s="1"/>
  <c r="AB30" i="11"/>
  <c r="AC30" i="11" s="1"/>
  <c r="BB30" i="11"/>
  <c r="BA31" i="12"/>
  <c r="AB30" i="10"/>
  <c r="AC30" i="10" s="1"/>
  <c r="AE30" i="10"/>
  <c r="AI30" i="10" s="1"/>
  <c r="AJ29" i="10"/>
  <c r="BC29" i="10"/>
  <c r="BB30" i="10"/>
  <c r="BA31" i="10"/>
  <c r="BL30" i="10"/>
  <c r="AP31" i="10"/>
  <c r="AO31" i="10"/>
  <c r="AT31" i="10"/>
  <c r="AQ31" i="10"/>
  <c r="AD31" i="10"/>
  <c r="AA31" i="10"/>
  <c r="AH32" i="10" s="1"/>
  <c r="Z31" i="10"/>
  <c r="Y31" i="10"/>
  <c r="AR31" i="10"/>
  <c r="AU31" i="10"/>
  <c r="AK32" i="10" s="1"/>
  <c r="AV31" i="10"/>
  <c r="BJ31" i="10" s="1"/>
  <c r="AY31" i="10"/>
  <c r="AS30" i="10"/>
  <c r="BN29" i="9"/>
  <c r="BV29" i="9" s="1"/>
  <c r="BY29" i="9" s="1"/>
  <c r="BC29" i="12"/>
  <c r="BD29" i="12" s="1"/>
  <c r="BN29" i="12"/>
  <c r="BV29" i="12" s="1"/>
  <c r="BY29" i="12" s="1"/>
  <c r="BH31" i="13"/>
  <c r="BI31" i="13"/>
  <c r="BN30" i="13"/>
  <c r="BV30" i="13" s="1"/>
  <c r="BY30" i="13" s="1"/>
  <c r="BU31" i="13"/>
  <c r="BT32" i="13"/>
  <c r="BP32" i="13"/>
  <c r="AW33" i="13"/>
  <c r="BM32" i="13"/>
  <c r="V32" i="13"/>
  <c r="BR32" i="13"/>
  <c r="BO32" i="13"/>
  <c r="BN29" i="11"/>
  <c r="BV29" i="11" s="1"/>
  <c r="BY29" i="11" s="1"/>
  <c r="AS30" i="12"/>
  <c r="AJ29" i="12"/>
  <c r="AM29" i="12" s="1"/>
  <c r="AD31" i="12"/>
  <c r="BR31" i="12"/>
  <c r="AP31" i="12"/>
  <c r="AA31" i="12"/>
  <c r="AG32" i="12" s="1"/>
  <c r="AW32" i="12"/>
  <c r="BP31" i="12"/>
  <c r="Y31" i="12"/>
  <c r="BO31" i="12"/>
  <c r="AY31" i="12"/>
  <c r="BL31" i="12" s="1"/>
  <c r="AR31" i="12"/>
  <c r="AQ31" i="12"/>
  <c r="BT31" i="12"/>
  <c r="AO31" i="12"/>
  <c r="BK31" i="12"/>
  <c r="AT31" i="12"/>
  <c r="V31" i="12"/>
  <c r="Z31" i="12"/>
  <c r="BM31" i="12"/>
  <c r="AV31" i="12"/>
  <c r="BJ31" i="12" s="1"/>
  <c r="AU31" i="12"/>
  <c r="AE30" i="12"/>
  <c r="AI30" i="12" s="1"/>
  <c r="AB30" i="12"/>
  <c r="AC30" i="12" s="1"/>
  <c r="BU30" i="12"/>
  <c r="BH30" i="12"/>
  <c r="BB30" i="12"/>
  <c r="BI30" i="12"/>
  <c r="AK31" i="12"/>
  <c r="BH30" i="11"/>
  <c r="BR31" i="11"/>
  <c r="AW32" i="11"/>
  <c r="BP31" i="11"/>
  <c r="BO31" i="11"/>
  <c r="V31" i="11"/>
  <c r="BM31" i="11"/>
  <c r="BT31" i="11"/>
  <c r="BU30" i="11"/>
  <c r="BI30" i="11"/>
  <c r="BN29" i="10"/>
  <c r="BV29" i="10" s="1"/>
  <c r="BY29" i="10" s="1"/>
  <c r="BH30" i="10"/>
  <c r="BI30" i="10"/>
  <c r="BR31" i="10"/>
  <c r="BP31" i="10"/>
  <c r="BO31" i="10"/>
  <c r="BT31" i="10"/>
  <c r="BM31" i="10"/>
  <c r="V31" i="10"/>
  <c r="BU30" i="10"/>
  <c r="BU30" i="9"/>
  <c r="BH30" i="9"/>
  <c r="BR31" i="9"/>
  <c r="V31" i="9"/>
  <c r="BP31" i="9"/>
  <c r="AW32" i="9"/>
  <c r="BM31" i="9"/>
  <c r="BO31" i="9"/>
  <c r="BI30" i="9"/>
  <c r="AG33" i="13" l="1"/>
  <c r="AG32" i="10"/>
  <c r="AZ32" i="10"/>
  <c r="AW32" i="10"/>
  <c r="AX32" i="10"/>
  <c r="AF32" i="12"/>
  <c r="BT32" i="9" a="1"/>
  <c r="BT32" i="9" s="1"/>
  <c r="BD29" i="11"/>
  <c r="I16" i="2" a="1"/>
  <c r="I16" i="2" s="1"/>
  <c r="AF32" i="11"/>
  <c r="E16" i="2" a="1"/>
  <c r="E16" i="2" s="1"/>
  <c r="K16" i="2" a="1"/>
  <c r="K16" i="2" s="1"/>
  <c r="D16" i="2" a="1"/>
  <c r="D16" i="2" s="1"/>
  <c r="J16" i="2" a="1"/>
  <c r="J16" i="2" s="1"/>
  <c r="AM29" i="11"/>
  <c r="H16" i="2" a="1"/>
  <c r="H16" i="2" s="1"/>
  <c r="AF32" i="10"/>
  <c r="BK32" i="10"/>
  <c r="AF33" i="13"/>
  <c r="BC30" i="9"/>
  <c r="BC30" i="11"/>
  <c r="G17" i="2" s="1" a="1"/>
  <c r="G17" i="2" s="1"/>
  <c r="BD29" i="9"/>
  <c r="AM30" i="13"/>
  <c r="BD29" i="10"/>
  <c r="BD30" i="13"/>
  <c r="AM29" i="10"/>
  <c r="AJ30" i="11"/>
  <c r="F17" i="2" s="1" a="1"/>
  <c r="F17" i="2" s="1"/>
  <c r="AS31" i="11"/>
  <c r="BC31" i="13"/>
  <c r="AS31" i="9"/>
  <c r="AS31" i="10"/>
  <c r="BA32" i="12"/>
  <c r="AB31" i="9"/>
  <c r="AC31" i="9" s="1"/>
  <c r="AA32" i="9"/>
  <c r="AG33" i="9" s="1"/>
  <c r="Z32" i="9"/>
  <c r="AT32" i="9"/>
  <c r="AO32" i="9"/>
  <c r="AQ32" i="9"/>
  <c r="AZ33" i="9" s="1"/>
  <c r="AP32" i="9"/>
  <c r="Y32" i="9"/>
  <c r="AD32" i="9"/>
  <c r="BK32" i="9"/>
  <c r="AV32" i="9"/>
  <c r="BJ32" i="9" s="1"/>
  <c r="AY32" i="9"/>
  <c r="BL32" i="9" s="1"/>
  <c r="AR32" i="9"/>
  <c r="AU32" i="9"/>
  <c r="AK33" i="9" s="1"/>
  <c r="BB31" i="9"/>
  <c r="BA32" i="9"/>
  <c r="AJ31" i="13"/>
  <c r="BB32" i="13"/>
  <c r="AK33" i="13"/>
  <c r="AB32" i="13"/>
  <c r="AC32" i="13" s="1"/>
  <c r="AE32" i="13"/>
  <c r="AI32" i="13" s="1"/>
  <c r="AT33" i="13"/>
  <c r="AP33" i="13"/>
  <c r="AO33" i="13"/>
  <c r="AD33" i="13"/>
  <c r="AA33" i="13"/>
  <c r="Z33" i="13"/>
  <c r="Y33" i="13"/>
  <c r="AQ33" i="13"/>
  <c r="AZ34" i="13" s="1"/>
  <c r="BK33" i="13"/>
  <c r="AY33" i="13"/>
  <c r="BL33" i="13" s="1"/>
  <c r="AU33" i="13"/>
  <c r="AK34" i="13" s="1"/>
  <c r="AV33" i="13"/>
  <c r="BJ33" i="13" s="1"/>
  <c r="AR33" i="13"/>
  <c r="AS32" i="13"/>
  <c r="BA33" i="13"/>
  <c r="BB31" i="11"/>
  <c r="AK32" i="11"/>
  <c r="BA32" i="11"/>
  <c r="AO32" i="11"/>
  <c r="Z32" i="11"/>
  <c r="AR32" i="11"/>
  <c r="AY32" i="11"/>
  <c r="BL32" i="11" s="1"/>
  <c r="AD32" i="11"/>
  <c r="Y32" i="11"/>
  <c r="BK32" i="11"/>
  <c r="AA32" i="11"/>
  <c r="AG33" i="11" s="1"/>
  <c r="AT32" i="11"/>
  <c r="AP32" i="11"/>
  <c r="AQ32" i="11"/>
  <c r="AZ33" i="11" s="1"/>
  <c r="AV32" i="11"/>
  <c r="BJ32" i="11" s="1"/>
  <c r="AU32" i="11"/>
  <c r="AE31" i="11"/>
  <c r="AI31" i="11" s="1"/>
  <c r="AB31" i="11"/>
  <c r="AC31" i="11" s="1"/>
  <c r="BB31" i="10"/>
  <c r="BC30" i="10"/>
  <c r="BL31" i="10"/>
  <c r="AJ30" i="10"/>
  <c r="AB31" i="10"/>
  <c r="AC31" i="10" s="1"/>
  <c r="AE31" i="10"/>
  <c r="AI31" i="10" s="1"/>
  <c r="Z32" i="10"/>
  <c r="Y32" i="10"/>
  <c r="AQ32" i="10"/>
  <c r="AP32" i="10"/>
  <c r="AO32" i="10"/>
  <c r="AT32" i="10"/>
  <c r="AD32" i="10"/>
  <c r="AA32" i="10"/>
  <c r="AH33" i="10" s="1"/>
  <c r="AU32" i="10"/>
  <c r="AK33" i="10" s="1"/>
  <c r="AR32" i="10"/>
  <c r="AV32" i="10"/>
  <c r="BJ32" i="10" s="1"/>
  <c r="AY32" i="10"/>
  <c r="BL32" i="10" s="1"/>
  <c r="BA32" i="10"/>
  <c r="BC30" i="12"/>
  <c r="BD30" i="12" s="1"/>
  <c r="BU32" i="13"/>
  <c r="BT33" i="13"/>
  <c r="BP33" i="13"/>
  <c r="BM33" i="13"/>
  <c r="V33" i="13"/>
  <c r="BR33" i="13"/>
  <c r="AW34" i="13"/>
  <c r="BO33" i="13"/>
  <c r="BH32" i="13"/>
  <c r="BI32" i="13"/>
  <c r="BN31" i="13"/>
  <c r="BV31" i="13" s="1"/>
  <c r="BY31" i="13" s="1"/>
  <c r="BU31" i="12"/>
  <c r="AJ30" i="12"/>
  <c r="AM30" i="12" s="1"/>
  <c r="BI31" i="12"/>
  <c r="AK32" i="12"/>
  <c r="AB31" i="12"/>
  <c r="AC31" i="12" s="1"/>
  <c r="AE31" i="12"/>
  <c r="AI31" i="12" s="1"/>
  <c r="BN30" i="12"/>
  <c r="BV30" i="12" s="1"/>
  <c r="BY30" i="12" s="1"/>
  <c r="BH31" i="12"/>
  <c r="BB31" i="12"/>
  <c r="AT32" i="12"/>
  <c r="AD32" i="12"/>
  <c r="AQ32" i="12"/>
  <c r="BP32" i="12"/>
  <c r="Y32" i="12"/>
  <c r="AW33" i="12"/>
  <c r="AY32" i="12"/>
  <c r="BL32" i="12" s="1"/>
  <c r="BM32" i="12"/>
  <c r="BK32" i="12"/>
  <c r="V32" i="12"/>
  <c r="AR32" i="12"/>
  <c r="BR32" i="12"/>
  <c r="AA32" i="12"/>
  <c r="AG33" i="12" s="1"/>
  <c r="Z32" i="12"/>
  <c r="BO32" i="12"/>
  <c r="AP32" i="12"/>
  <c r="AO32" i="12"/>
  <c r="BT32" i="12"/>
  <c r="AU32" i="12"/>
  <c r="AV32" i="12"/>
  <c r="BJ32" i="12" s="1"/>
  <c r="AS31" i="12"/>
  <c r="BU31" i="11"/>
  <c r="BT32" i="11"/>
  <c r="BP32" i="11"/>
  <c r="BO32" i="11"/>
  <c r="AW33" i="11"/>
  <c r="BM32" i="11"/>
  <c r="V32" i="11"/>
  <c r="BR32" i="11"/>
  <c r="BH31" i="11"/>
  <c r="BI31" i="11"/>
  <c r="BN30" i="11"/>
  <c r="BV30" i="11" s="1"/>
  <c r="BY30" i="11" s="1"/>
  <c r="BH31" i="10"/>
  <c r="BI31" i="10"/>
  <c r="BU31" i="10"/>
  <c r="BN30" i="10"/>
  <c r="BV30" i="10" s="1"/>
  <c r="BY30" i="10" s="1"/>
  <c r="BT32" i="10"/>
  <c r="BP32" i="10"/>
  <c r="BM32" i="10"/>
  <c r="V32" i="10"/>
  <c r="BO32" i="10"/>
  <c r="BR32" i="10"/>
  <c r="BI31" i="9"/>
  <c r="BR32" i="9"/>
  <c r="BP32" i="9"/>
  <c r="AW33" i="9"/>
  <c r="BO32" i="9"/>
  <c r="BM32" i="9"/>
  <c r="V32" i="9"/>
  <c r="BU31" i="9"/>
  <c r="BH31" i="9"/>
  <c r="BN30" i="9"/>
  <c r="BV30" i="9" s="1"/>
  <c r="BY30" i="9" s="1"/>
  <c r="AG34" i="13" l="1"/>
  <c r="AG33" i="10"/>
  <c r="AZ33" i="10"/>
  <c r="AW33" i="10"/>
  <c r="BK33" i="10" s="1"/>
  <c r="AX33" i="10"/>
  <c r="AF34" i="13"/>
  <c r="AF33" i="11"/>
  <c r="E17" i="2" a="1"/>
  <c r="E17" i="2" s="1"/>
  <c r="K17" i="2" a="1"/>
  <c r="K17" i="2" s="1"/>
  <c r="AM30" i="11"/>
  <c r="H17" i="2" a="1"/>
  <c r="H17" i="2" s="1"/>
  <c r="BD30" i="9"/>
  <c r="M17" i="2" a="1"/>
  <c r="M17" i="2" s="1"/>
  <c r="BT33" i="9" a="1"/>
  <c r="BT33" i="9" s="1"/>
  <c r="AF33" i="10"/>
  <c r="AF33" i="12"/>
  <c r="BD30" i="11"/>
  <c r="I17" i="2" a="1"/>
  <c r="I17" i="2" s="1"/>
  <c r="D17" i="2" a="1"/>
  <c r="D17" i="2" s="1"/>
  <c r="J17" i="2" a="1"/>
  <c r="J17" i="2" s="1"/>
  <c r="BA33" i="12"/>
  <c r="BA33" i="9"/>
  <c r="BC31" i="11"/>
  <c r="G18" i="2" s="1" a="1"/>
  <c r="G18" i="2" s="1"/>
  <c r="BC31" i="10"/>
  <c r="AM31" i="13"/>
  <c r="BD30" i="10"/>
  <c r="BD31" i="13"/>
  <c r="AM30" i="10"/>
  <c r="BC32" i="13"/>
  <c r="BC31" i="9"/>
  <c r="M18" i="2" s="1" a="1"/>
  <c r="M18" i="2" s="1"/>
  <c r="BN31" i="9"/>
  <c r="BV31" i="9" s="1"/>
  <c r="BY31" i="9" s="1"/>
  <c r="AS32" i="9"/>
  <c r="AB32" i="9"/>
  <c r="AC32" i="9" s="1"/>
  <c r="BB32" i="9"/>
  <c r="AO33" i="9"/>
  <c r="AD33" i="9"/>
  <c r="Z33" i="9"/>
  <c r="Y33" i="9"/>
  <c r="AP33" i="9"/>
  <c r="AA33" i="9"/>
  <c r="AG34" i="9" s="1"/>
  <c r="AT33" i="9"/>
  <c r="AQ33" i="9"/>
  <c r="AZ34" i="9" s="1"/>
  <c r="BK33" i="9"/>
  <c r="AU33" i="9"/>
  <c r="AK34" i="9" s="1"/>
  <c r="AV33" i="9"/>
  <c r="BJ33" i="9" s="1"/>
  <c r="AY33" i="9"/>
  <c r="BL33" i="9" s="1"/>
  <c r="AR33" i="9"/>
  <c r="AS33" i="13"/>
  <c r="BB33" i="13"/>
  <c r="AJ32" i="13"/>
  <c r="AB33" i="13"/>
  <c r="AC33" i="13" s="1"/>
  <c r="AE33" i="13"/>
  <c r="AI33" i="13" s="1"/>
  <c r="Y34" i="13"/>
  <c r="AT34" i="13"/>
  <c r="AQ34" i="13"/>
  <c r="AZ35" i="13" s="1"/>
  <c r="AO34" i="13"/>
  <c r="AD34" i="13"/>
  <c r="AP34" i="13"/>
  <c r="Z34" i="13"/>
  <c r="AA34" i="13"/>
  <c r="BK34" i="13"/>
  <c r="AU34" i="13"/>
  <c r="AK35" i="13" s="1"/>
  <c r="AY34" i="13"/>
  <c r="BL34" i="13" s="1"/>
  <c r="AV34" i="13"/>
  <c r="BJ34" i="13" s="1"/>
  <c r="AR34" i="13"/>
  <c r="BA34" i="13"/>
  <c r="AT33" i="11"/>
  <c r="AD33" i="11"/>
  <c r="Y33" i="11"/>
  <c r="AR33" i="11"/>
  <c r="Z33" i="11"/>
  <c r="AQ33" i="11"/>
  <c r="AZ34" i="11" s="1"/>
  <c r="AA33" i="11"/>
  <c r="AG34" i="11" s="1"/>
  <c r="AY33" i="11"/>
  <c r="BL33" i="11" s="1"/>
  <c r="BK33" i="11"/>
  <c r="AP33" i="11"/>
  <c r="AO33" i="11"/>
  <c r="AU33" i="11"/>
  <c r="AK34" i="11" s="1"/>
  <c r="AV33" i="11"/>
  <c r="BJ33" i="11" s="1"/>
  <c r="AE32" i="11"/>
  <c r="AI32" i="11" s="1"/>
  <c r="AB32" i="11"/>
  <c r="AC32" i="11" s="1"/>
  <c r="AS32" i="11"/>
  <c r="BA33" i="11"/>
  <c r="AJ31" i="11"/>
  <c r="F18" i="2" s="1" a="1"/>
  <c r="F18" i="2" s="1"/>
  <c r="BB32" i="11"/>
  <c r="AK33" i="11"/>
  <c r="BA33" i="10"/>
  <c r="AD33" i="10"/>
  <c r="Y33" i="10"/>
  <c r="AA33" i="10"/>
  <c r="AH34" i="10" s="1"/>
  <c r="Z33" i="10"/>
  <c r="AT33" i="10"/>
  <c r="AQ33" i="10"/>
  <c r="AO33" i="10"/>
  <c r="AP33" i="10"/>
  <c r="AR33" i="10"/>
  <c r="AV33" i="10"/>
  <c r="BJ33" i="10" s="1"/>
  <c r="AU33" i="10"/>
  <c r="AK34" i="10" s="1"/>
  <c r="AY33" i="10"/>
  <c r="BL33" i="10" s="1"/>
  <c r="BB32" i="10"/>
  <c r="AJ31" i="10"/>
  <c r="AS32" i="10"/>
  <c r="AB32" i="10"/>
  <c r="AC32" i="10" s="1"/>
  <c r="AE32" i="10"/>
  <c r="AI32" i="10" s="1"/>
  <c r="BN31" i="12"/>
  <c r="BV31" i="12" s="1"/>
  <c r="BY31" i="12" s="1"/>
  <c r="BU33" i="13"/>
  <c r="BT34" i="13"/>
  <c r="AW35" i="13"/>
  <c r="BO34" i="13"/>
  <c r="BM34" i="13"/>
  <c r="V34" i="13"/>
  <c r="BP34" i="13"/>
  <c r="BR34" i="13"/>
  <c r="BN32" i="13"/>
  <c r="BV32" i="13" s="1"/>
  <c r="BY32" i="13" s="1"/>
  <c r="BH33" i="13"/>
  <c r="BI33" i="13"/>
  <c r="BN31" i="11"/>
  <c r="BV31" i="11" s="1"/>
  <c r="BY31" i="11" s="1"/>
  <c r="BC31" i="12"/>
  <c r="BD31" i="12" s="1"/>
  <c r="BH32" i="12"/>
  <c r="BB32" i="12"/>
  <c r="BI32" i="12"/>
  <c r="AK33" i="12"/>
  <c r="AJ31" i="12"/>
  <c r="AM31" i="12" s="1"/>
  <c r="AE32" i="12"/>
  <c r="AI32" i="12" s="1"/>
  <c r="AB32" i="12"/>
  <c r="AC32" i="12" s="1"/>
  <c r="AT33" i="12"/>
  <c r="AD33" i="12"/>
  <c r="AQ33" i="12"/>
  <c r="BP33" i="12"/>
  <c r="Y33" i="12"/>
  <c r="AY33" i="12"/>
  <c r="BL33" i="12" s="1"/>
  <c r="BM33" i="12"/>
  <c r="BK33" i="12"/>
  <c r="V33" i="12"/>
  <c r="BO33" i="12"/>
  <c r="AA33" i="12"/>
  <c r="AG34" i="12" s="1"/>
  <c r="Z33" i="12"/>
  <c r="BT33" i="12"/>
  <c r="AO33" i="12"/>
  <c r="BR33" i="12"/>
  <c r="AW34" i="12"/>
  <c r="AR33" i="12"/>
  <c r="AP33" i="12"/>
  <c r="AV33" i="12"/>
  <c r="BJ33" i="12" s="1"/>
  <c r="AU33" i="12"/>
  <c r="AS32" i="12"/>
  <c r="BU32" i="12"/>
  <c r="BU32" i="11"/>
  <c r="BT33" i="11"/>
  <c r="BP33" i="11"/>
  <c r="AW34" i="11"/>
  <c r="BO33" i="11"/>
  <c r="BM33" i="11"/>
  <c r="V33" i="11"/>
  <c r="BR33" i="11"/>
  <c r="BI32" i="11"/>
  <c r="BH32" i="11"/>
  <c r="BT33" i="10"/>
  <c r="BP33" i="10"/>
  <c r="BM33" i="10"/>
  <c r="V33" i="10"/>
  <c r="BO33" i="10"/>
  <c r="BR33" i="10"/>
  <c r="BU32" i="10"/>
  <c r="BH32" i="10"/>
  <c r="BI32" i="10"/>
  <c r="BN31" i="10"/>
  <c r="BV31" i="10" s="1"/>
  <c r="BY31" i="10" s="1"/>
  <c r="BU32" i="9"/>
  <c r="BH32" i="9"/>
  <c r="BI32" i="9"/>
  <c r="BR33" i="9"/>
  <c r="BP33" i="9"/>
  <c r="AW34" i="9"/>
  <c r="BM33" i="9"/>
  <c r="V33" i="9"/>
  <c r="BO33" i="9"/>
  <c r="AG35" i="13" l="1"/>
  <c r="AG34" i="10"/>
  <c r="AZ34" i="10"/>
  <c r="AW34" i="10"/>
  <c r="BK34" i="10" s="1"/>
  <c r="AX34" i="10"/>
  <c r="AF35" i="13"/>
  <c r="E18" i="2" a="1"/>
  <c r="E18" i="2" s="1"/>
  <c r="K18" i="2" a="1"/>
  <c r="K18" i="2" s="1"/>
  <c r="AF34" i="10"/>
  <c r="BD31" i="11"/>
  <c r="I18" i="2" a="1"/>
  <c r="I18" i="2" s="1"/>
  <c r="AF34" i="12"/>
  <c r="BT34" i="9" a="1"/>
  <c r="BT34" i="9" s="1"/>
  <c r="AM31" i="11"/>
  <c r="H18" i="2" a="1"/>
  <c r="H18" i="2" s="1"/>
  <c r="AF34" i="11"/>
  <c r="D18" i="2" a="1"/>
  <c r="D18" i="2" s="1"/>
  <c r="J18" i="2" a="1"/>
  <c r="J18" i="2" s="1"/>
  <c r="BD31" i="10"/>
  <c r="BD31" i="9"/>
  <c r="BC32" i="9"/>
  <c r="M19" i="2" s="1" a="1"/>
  <c r="M19" i="2" s="1"/>
  <c r="BA34" i="12"/>
  <c r="AM32" i="13"/>
  <c r="BD32" i="13"/>
  <c r="AM31" i="10"/>
  <c r="BA34" i="10"/>
  <c r="BB33" i="9"/>
  <c r="BA34" i="9"/>
  <c r="AB33" i="9"/>
  <c r="AC33" i="9" s="1"/>
  <c r="AT34" i="9"/>
  <c r="AQ34" i="9"/>
  <c r="AZ35" i="9" s="1"/>
  <c r="AD34" i="9"/>
  <c r="AA34" i="9"/>
  <c r="AG35" i="9" s="1"/>
  <c r="Y34" i="9"/>
  <c r="Z34" i="9"/>
  <c r="AO34" i="9"/>
  <c r="AP34" i="9"/>
  <c r="BK34" i="9"/>
  <c r="AY34" i="9"/>
  <c r="BL34" i="9" s="1"/>
  <c r="AR34" i="9"/>
  <c r="AU34" i="9"/>
  <c r="AK35" i="9" s="1"/>
  <c r="AV34" i="9"/>
  <c r="BJ34" i="9" s="1"/>
  <c r="AS33" i="9"/>
  <c r="BC33" i="13"/>
  <c r="BB34" i="13"/>
  <c r="AS34" i="13"/>
  <c r="AB34" i="13"/>
  <c r="AC34" i="13" s="1"/>
  <c r="AE34" i="13"/>
  <c r="AI34" i="13" s="1"/>
  <c r="AJ33" i="13"/>
  <c r="AA35" i="13"/>
  <c r="Z35" i="13"/>
  <c r="AQ35" i="13"/>
  <c r="AZ36" i="13" s="1"/>
  <c r="Y35" i="13"/>
  <c r="AT35" i="13"/>
  <c r="AP35" i="13"/>
  <c r="AO35" i="13"/>
  <c r="AD35" i="13"/>
  <c r="BK35" i="13"/>
  <c r="AV35" i="13"/>
  <c r="BJ35" i="13" s="1"/>
  <c r="AU35" i="13"/>
  <c r="AK36" i="13" s="1"/>
  <c r="AY35" i="13"/>
  <c r="BL35" i="13" s="1"/>
  <c r="AR35" i="13"/>
  <c r="BA35" i="13"/>
  <c r="BK34" i="11"/>
  <c r="AA34" i="11"/>
  <c r="AG35" i="11" s="1"/>
  <c r="AP34" i="11"/>
  <c r="Z34" i="11"/>
  <c r="AT34" i="11"/>
  <c r="AO34" i="11"/>
  <c r="AY34" i="11"/>
  <c r="BL34" i="11" s="1"/>
  <c r="Y34" i="11"/>
  <c r="AR34" i="11"/>
  <c r="AQ34" i="11"/>
  <c r="AZ35" i="11" s="1"/>
  <c r="AD34" i="11"/>
  <c r="AV34" i="11"/>
  <c r="BJ34" i="11" s="1"/>
  <c r="AU34" i="11"/>
  <c r="AK35" i="11" s="1"/>
  <c r="AJ32" i="11"/>
  <c r="F19" i="2" s="1" a="1"/>
  <c r="F19" i="2" s="1"/>
  <c r="BB33" i="11"/>
  <c r="AE33" i="11"/>
  <c r="AI33" i="11" s="1"/>
  <c r="AB33" i="11"/>
  <c r="AC33" i="11" s="1"/>
  <c r="BA34" i="11"/>
  <c r="BC32" i="11"/>
  <c r="G19" i="2" s="1" a="1"/>
  <c r="G19" i="2" s="1"/>
  <c r="AS33" i="11"/>
  <c r="BN32" i="11"/>
  <c r="BV32" i="11" s="1"/>
  <c r="BY32" i="11" s="1"/>
  <c r="AJ32" i="10"/>
  <c r="AB33" i="10"/>
  <c r="AC33" i="10" s="1"/>
  <c r="AE33" i="10"/>
  <c r="AI33" i="10" s="1"/>
  <c r="BC32" i="10"/>
  <c r="BB33" i="10"/>
  <c r="AQ34" i="10"/>
  <c r="AP34" i="10"/>
  <c r="AO34" i="10"/>
  <c r="AD34" i="10"/>
  <c r="Z34" i="10"/>
  <c r="Y34" i="10"/>
  <c r="AT34" i="10"/>
  <c r="AA34" i="10"/>
  <c r="AH35" i="10" s="1"/>
  <c r="AR34" i="10"/>
  <c r="AU34" i="10"/>
  <c r="AK35" i="10" s="1"/>
  <c r="AV34" i="10"/>
  <c r="BJ34" i="10" s="1"/>
  <c r="AY34" i="10"/>
  <c r="AS33" i="10"/>
  <c r="BU33" i="12"/>
  <c r="BN33" i="13"/>
  <c r="BV33" i="13" s="1"/>
  <c r="BY33" i="13" s="1"/>
  <c r="BC32" i="12"/>
  <c r="BD32" i="12" s="1"/>
  <c r="BT35" i="13"/>
  <c r="BR35" i="13"/>
  <c r="AW36" i="13"/>
  <c r="BO35" i="13"/>
  <c r="BM35" i="13"/>
  <c r="V35" i="13"/>
  <c r="BP35" i="13"/>
  <c r="BH34" i="13"/>
  <c r="BI34" i="13"/>
  <c r="BU34" i="13"/>
  <c r="AJ32" i="12"/>
  <c r="AM32" i="12" s="1"/>
  <c r="BH33" i="12"/>
  <c r="BB33" i="12"/>
  <c r="BI33" i="12"/>
  <c r="AK34" i="12"/>
  <c r="AD34" i="12"/>
  <c r="BT34" i="12"/>
  <c r="AR34" i="12"/>
  <c r="BR34" i="12"/>
  <c r="AP34" i="12"/>
  <c r="AA34" i="12"/>
  <c r="AG35" i="12" s="1"/>
  <c r="AW35" i="12"/>
  <c r="BO34" i="12"/>
  <c r="BM34" i="12"/>
  <c r="BK34" i="12"/>
  <c r="V34" i="12"/>
  <c r="AO34" i="12"/>
  <c r="BP34" i="12"/>
  <c r="Y34" i="12"/>
  <c r="AY34" i="12"/>
  <c r="BL34" i="12" s="1"/>
  <c r="AT34" i="12"/>
  <c r="Z34" i="12"/>
  <c r="AQ34" i="12"/>
  <c r="AV34" i="12"/>
  <c r="BJ34" i="12" s="1"/>
  <c r="AU34" i="12"/>
  <c r="AS33" i="12"/>
  <c r="BN32" i="12"/>
  <c r="BV32" i="12" s="1"/>
  <c r="BY32" i="12" s="1"/>
  <c r="AE33" i="12"/>
  <c r="AI33" i="12" s="1"/>
  <c r="AB33" i="12"/>
  <c r="AC33" i="12" s="1"/>
  <c r="BI33" i="11"/>
  <c r="BH33" i="11"/>
  <c r="BU33" i="11"/>
  <c r="BT34" i="11"/>
  <c r="AW35" i="11"/>
  <c r="BO34" i="11"/>
  <c r="BM34" i="11"/>
  <c r="V34" i="11"/>
  <c r="BR34" i="11"/>
  <c r="BP34" i="11"/>
  <c r="BN32" i="10"/>
  <c r="BV32" i="10" s="1"/>
  <c r="BY32" i="10" s="1"/>
  <c r="BI33" i="10"/>
  <c r="BT34" i="10"/>
  <c r="BO34" i="10"/>
  <c r="BM34" i="10"/>
  <c r="V34" i="10"/>
  <c r="BP34" i="10"/>
  <c r="BR34" i="10"/>
  <c r="BU33" i="10"/>
  <c r="BH33" i="10"/>
  <c r="BU33" i="9"/>
  <c r="BN32" i="9"/>
  <c r="BV32" i="9" s="1"/>
  <c r="BY32" i="9" s="1"/>
  <c r="BI33" i="9"/>
  <c r="BR34" i="9"/>
  <c r="AW35" i="9"/>
  <c r="BO34" i="9"/>
  <c r="BM34" i="9"/>
  <c r="V34" i="9"/>
  <c r="BP34" i="9"/>
  <c r="BH33" i="9"/>
  <c r="AG36" i="13" l="1"/>
  <c r="AZ35" i="10"/>
  <c r="AG35" i="10"/>
  <c r="AW35" i="10"/>
  <c r="AX35" i="10"/>
  <c r="E19" i="2" a="1"/>
  <c r="E19" i="2" s="1"/>
  <c r="K19" i="2" a="1"/>
  <c r="K19" i="2" s="1"/>
  <c r="AM32" i="11"/>
  <c r="H19" i="2" a="1"/>
  <c r="H19" i="2" s="1"/>
  <c r="D19" i="2" a="1"/>
  <c r="D19" i="2" s="1"/>
  <c r="J19" i="2" a="1"/>
  <c r="J19" i="2" s="1"/>
  <c r="BT35" i="9" a="1"/>
  <c r="BT35" i="9" s="1"/>
  <c r="BD32" i="11"/>
  <c r="I19" i="2" a="1"/>
  <c r="I19" i="2" s="1"/>
  <c r="AF35" i="11"/>
  <c r="AF36" i="13"/>
  <c r="AF35" i="12"/>
  <c r="AF35" i="10"/>
  <c r="BK35" i="10"/>
  <c r="BD32" i="9"/>
  <c r="BA35" i="12"/>
  <c r="BA35" i="9"/>
  <c r="AM33" i="13"/>
  <c r="BC33" i="9"/>
  <c r="M20" i="2" s="1" a="1"/>
  <c r="M20" i="2" s="1"/>
  <c r="BD32" i="10"/>
  <c r="BD33" i="13"/>
  <c r="AM32" i="10"/>
  <c r="BB35" i="13"/>
  <c r="AS35" i="13"/>
  <c r="BC34" i="13"/>
  <c r="BC33" i="11"/>
  <c r="G20" i="2" s="1" a="1"/>
  <c r="G20" i="2" s="1"/>
  <c r="BN33" i="10"/>
  <c r="BV33" i="10" s="1"/>
  <c r="BY33" i="10" s="1"/>
  <c r="AB34" i="9"/>
  <c r="AC34" i="9" s="1"/>
  <c r="AT35" i="9"/>
  <c r="AQ35" i="9"/>
  <c r="AZ36" i="9" s="1"/>
  <c r="AP35" i="9"/>
  <c r="Y35" i="9"/>
  <c r="AO35" i="9"/>
  <c r="AA35" i="9"/>
  <c r="AG36" i="9" s="1"/>
  <c r="AD35" i="9"/>
  <c r="Z35" i="9"/>
  <c r="BK35" i="9"/>
  <c r="AY35" i="9"/>
  <c r="BL35" i="9" s="1"/>
  <c r="AR35" i="9"/>
  <c r="AU35" i="9"/>
  <c r="AK36" i="9" s="1"/>
  <c r="AV35" i="9"/>
  <c r="BJ35" i="9" s="1"/>
  <c r="BB34" i="9"/>
  <c r="AS34" i="9"/>
  <c r="AJ34" i="13"/>
  <c r="AB35" i="13"/>
  <c r="AC35" i="13" s="1"/>
  <c r="AE35" i="13"/>
  <c r="AI35" i="13" s="1"/>
  <c r="AQ36" i="13"/>
  <c r="AZ37" i="13" s="1"/>
  <c r="AP36" i="13"/>
  <c r="AO36" i="13"/>
  <c r="AA36" i="13"/>
  <c r="Z36" i="13"/>
  <c r="Y36" i="13"/>
  <c r="AD36" i="13"/>
  <c r="AT36" i="13"/>
  <c r="BK36" i="13"/>
  <c r="AY36" i="13"/>
  <c r="BL36" i="13" s="1"/>
  <c r="AV36" i="13"/>
  <c r="BJ36" i="13" s="1"/>
  <c r="AU36" i="13"/>
  <c r="AK37" i="13" s="1"/>
  <c r="AR36" i="13"/>
  <c r="BA36" i="13"/>
  <c r="BA35" i="11"/>
  <c r="AS34" i="11"/>
  <c r="BB34" i="11"/>
  <c r="AJ33" i="11"/>
  <c r="F20" i="2" s="1" a="1"/>
  <c r="F20" i="2" s="1"/>
  <c r="AB34" i="11"/>
  <c r="AC34" i="11" s="1"/>
  <c r="AE34" i="11"/>
  <c r="AI34" i="11" s="1"/>
  <c r="AA35" i="11"/>
  <c r="AG36" i="11" s="1"/>
  <c r="AR35" i="11"/>
  <c r="AO35" i="11"/>
  <c r="Z35" i="11"/>
  <c r="AY35" i="11"/>
  <c r="BL35" i="11" s="1"/>
  <c r="Y35" i="11"/>
  <c r="AQ35" i="11"/>
  <c r="AZ36" i="11" s="1"/>
  <c r="AP35" i="11"/>
  <c r="BK35" i="11"/>
  <c r="AT35" i="11"/>
  <c r="AD35" i="11"/>
  <c r="AV35" i="11"/>
  <c r="BJ35" i="11" s="1"/>
  <c r="AU35" i="11"/>
  <c r="AK36" i="11" s="1"/>
  <c r="BN33" i="11"/>
  <c r="BV33" i="11" s="1"/>
  <c r="BY33" i="11" s="1"/>
  <c r="BC33" i="12"/>
  <c r="BD33" i="12" s="1"/>
  <c r="AB34" i="10"/>
  <c r="AC34" i="10" s="1"/>
  <c r="AE34" i="10"/>
  <c r="AI34" i="10" s="1"/>
  <c r="BB34" i="10"/>
  <c r="BA35" i="10"/>
  <c r="BC33" i="10"/>
  <c r="AS34" i="10"/>
  <c r="BL34" i="10"/>
  <c r="AJ33" i="10"/>
  <c r="AO35" i="10"/>
  <c r="AT35" i="10"/>
  <c r="AP35" i="10"/>
  <c r="AQ35" i="10"/>
  <c r="AD35" i="10"/>
  <c r="AA35" i="10"/>
  <c r="AH36" i="10" s="1"/>
  <c r="Z35" i="10"/>
  <c r="Y35" i="10"/>
  <c r="AU35" i="10"/>
  <c r="AK36" i="10" s="1"/>
  <c r="AR35" i="10"/>
  <c r="AV35" i="10"/>
  <c r="BJ35" i="10" s="1"/>
  <c r="AY35" i="10"/>
  <c r="BL35" i="10" s="1"/>
  <c r="BI35" i="13"/>
  <c r="BR36" i="13"/>
  <c r="AW37" i="13"/>
  <c r="BP36" i="13"/>
  <c r="V36" i="13"/>
  <c r="BO36" i="13"/>
  <c r="BM36" i="13"/>
  <c r="BT36" i="13"/>
  <c r="BH35" i="13"/>
  <c r="BN34" i="13"/>
  <c r="BV34" i="13" s="1"/>
  <c r="BY34" i="13" s="1"/>
  <c r="BU35" i="13"/>
  <c r="AS34" i="12"/>
  <c r="AJ33" i="12"/>
  <c r="AM33" i="12" s="1"/>
  <c r="BT35" i="12"/>
  <c r="AR35" i="12"/>
  <c r="AQ35" i="12"/>
  <c r="AO35" i="12"/>
  <c r="Z35" i="12"/>
  <c r="AY35" i="12"/>
  <c r="BL35" i="12" s="1"/>
  <c r="AT35" i="12"/>
  <c r="AW36" i="12"/>
  <c r="BK35" i="12"/>
  <c r="AP35" i="12"/>
  <c r="BO35" i="12"/>
  <c r="AD35" i="12"/>
  <c r="V35" i="12"/>
  <c r="Y35" i="12"/>
  <c r="AA35" i="12"/>
  <c r="AG36" i="12" s="1"/>
  <c r="BR35" i="12"/>
  <c r="BP35" i="12"/>
  <c r="BM35" i="12"/>
  <c r="AU35" i="12"/>
  <c r="AV35" i="12"/>
  <c r="BJ35" i="12" s="1"/>
  <c r="BI34" i="12"/>
  <c r="AK35" i="12"/>
  <c r="AE34" i="12"/>
  <c r="AI34" i="12" s="1"/>
  <c r="AB34" i="12"/>
  <c r="AC34" i="12" s="1"/>
  <c r="BH34" i="12"/>
  <c r="BB34" i="12"/>
  <c r="BU34" i="12"/>
  <c r="BN33" i="12"/>
  <c r="BV33" i="12" s="1"/>
  <c r="BY33" i="12" s="1"/>
  <c r="BH34" i="11"/>
  <c r="BU34" i="11"/>
  <c r="BR35" i="11"/>
  <c r="BM35" i="11"/>
  <c r="V35" i="11"/>
  <c r="BT35" i="11"/>
  <c r="AW36" i="11"/>
  <c r="BP35" i="11"/>
  <c r="BO35" i="11"/>
  <c r="BI34" i="11"/>
  <c r="BU34" i="10"/>
  <c r="BT35" i="10"/>
  <c r="BR35" i="10"/>
  <c r="BP35" i="10"/>
  <c r="V35" i="10"/>
  <c r="BO35" i="10"/>
  <c r="BM35" i="10"/>
  <c r="BI34" i="10"/>
  <c r="BH34" i="10"/>
  <c r="BU34" i="9"/>
  <c r="BI34" i="9"/>
  <c r="BH34" i="9"/>
  <c r="AW36" i="9"/>
  <c r="BP35" i="9"/>
  <c r="BM35" i="9"/>
  <c r="V35" i="9"/>
  <c r="BO35" i="9"/>
  <c r="BR35" i="9"/>
  <c r="BN33" i="9"/>
  <c r="BV33" i="9" s="1"/>
  <c r="BY33" i="9" s="1"/>
  <c r="AG37" i="13" l="1"/>
  <c r="AG36" i="10"/>
  <c r="AZ36" i="10"/>
  <c r="AW36" i="10"/>
  <c r="BK36" i="10" s="1"/>
  <c r="AX36" i="10"/>
  <c r="AF37" i="13"/>
  <c r="BD33" i="11"/>
  <c r="I20" i="2" a="1"/>
  <c r="I20" i="2" s="1"/>
  <c r="AF36" i="12"/>
  <c r="AF36" i="11"/>
  <c r="D20" i="2" a="1"/>
  <c r="D20" i="2" s="1"/>
  <c r="J20" i="2" a="1"/>
  <c r="J20" i="2" s="1"/>
  <c r="E20" i="2" a="1"/>
  <c r="E20" i="2" s="1"/>
  <c r="K20" i="2" a="1"/>
  <c r="K20" i="2" s="1"/>
  <c r="AF36" i="10"/>
  <c r="BT36" i="9" a="1"/>
  <c r="BT36" i="9" s="1"/>
  <c r="AM33" i="11"/>
  <c r="H20" i="2" a="1"/>
  <c r="H20" i="2" s="1"/>
  <c r="BD33" i="9"/>
  <c r="BC35" i="13"/>
  <c r="AM34" i="13"/>
  <c r="BD33" i="10"/>
  <c r="BD34" i="13"/>
  <c r="AM33" i="10"/>
  <c r="BA36" i="10"/>
  <c r="BC34" i="9"/>
  <c r="M21" i="2" s="1" a="1"/>
  <c r="M21" i="2" s="1"/>
  <c r="BA36" i="11"/>
  <c r="BC34" i="11"/>
  <c r="G21" i="2" s="1" a="1"/>
  <c r="G21" i="2" s="1"/>
  <c r="AS35" i="10"/>
  <c r="BA36" i="9"/>
  <c r="AB35" i="9"/>
  <c r="AC35" i="9" s="1"/>
  <c r="BB35" i="9"/>
  <c r="AS35" i="9"/>
  <c r="AA36" i="9"/>
  <c r="AG37" i="9" s="1"/>
  <c r="Z36" i="9"/>
  <c r="Y36" i="9"/>
  <c r="AT36" i="9"/>
  <c r="AO36" i="9"/>
  <c r="AQ36" i="9"/>
  <c r="AZ37" i="9" s="1"/>
  <c r="AP36" i="9"/>
  <c r="AD36" i="9"/>
  <c r="BK36" i="9"/>
  <c r="AU36" i="9"/>
  <c r="AK37" i="9" s="1"/>
  <c r="AV36" i="9"/>
  <c r="BJ36" i="9" s="1"/>
  <c r="AR36" i="9"/>
  <c r="AY36" i="9"/>
  <c r="BL36" i="9" s="1"/>
  <c r="AS36" i="13"/>
  <c r="AJ35" i="13"/>
  <c r="AB36" i="13"/>
  <c r="AC36" i="13" s="1"/>
  <c r="AE36" i="13"/>
  <c r="AI36" i="13" s="1"/>
  <c r="BN35" i="13"/>
  <c r="BV35" i="13" s="1"/>
  <c r="BY35" i="13" s="1"/>
  <c r="AT37" i="13"/>
  <c r="AP37" i="13"/>
  <c r="AO37" i="13"/>
  <c r="AD37" i="13"/>
  <c r="AA37" i="13"/>
  <c r="Z37" i="13"/>
  <c r="Y37" i="13"/>
  <c r="AQ37" i="13"/>
  <c r="AZ38" i="13" s="1"/>
  <c r="BK37" i="13"/>
  <c r="AV37" i="13"/>
  <c r="BJ37" i="13" s="1"/>
  <c r="AY37" i="13"/>
  <c r="BL37" i="13" s="1"/>
  <c r="AU37" i="13"/>
  <c r="AK38" i="13" s="1"/>
  <c r="AR37" i="13"/>
  <c r="BB36" i="13"/>
  <c r="BA37" i="13"/>
  <c r="AJ34" i="11"/>
  <c r="F21" i="2" s="1" a="1"/>
  <c r="F21" i="2" s="1"/>
  <c r="AE35" i="11"/>
  <c r="AI35" i="11" s="1"/>
  <c r="AB35" i="11"/>
  <c r="AC35" i="11" s="1"/>
  <c r="BB35" i="11"/>
  <c r="AS35" i="11"/>
  <c r="AY36" i="11"/>
  <c r="BL36" i="11" s="1"/>
  <c r="Z36" i="11"/>
  <c r="AD36" i="11"/>
  <c r="BK36" i="11"/>
  <c r="Y36" i="11"/>
  <c r="AQ36" i="11"/>
  <c r="AZ37" i="11" s="1"/>
  <c r="AP36" i="11"/>
  <c r="AO36" i="11"/>
  <c r="AT36" i="11"/>
  <c r="AR36" i="11"/>
  <c r="AA36" i="11"/>
  <c r="AG37" i="11" s="1"/>
  <c r="AV36" i="11"/>
  <c r="BJ36" i="11" s="1"/>
  <c r="AU36" i="11"/>
  <c r="BA36" i="12"/>
  <c r="BN34" i="12"/>
  <c r="BV34" i="12" s="1"/>
  <c r="BY34" i="12" s="1"/>
  <c r="AS35" i="12"/>
  <c r="BB35" i="10"/>
  <c r="BC34" i="10"/>
  <c r="AJ34" i="10"/>
  <c r="AB35" i="10"/>
  <c r="AC35" i="10" s="1"/>
  <c r="AE35" i="10"/>
  <c r="AI35" i="10" s="1"/>
  <c r="Z36" i="10"/>
  <c r="Y36" i="10"/>
  <c r="AQ36" i="10"/>
  <c r="AP36" i="10"/>
  <c r="AO36" i="10"/>
  <c r="AT36" i="10"/>
  <c r="AD36" i="10"/>
  <c r="AA36" i="10"/>
  <c r="AH37" i="10" s="1"/>
  <c r="AV36" i="10"/>
  <c r="BJ36" i="10" s="1"/>
  <c r="AU36" i="10"/>
  <c r="AK37" i="10" s="1"/>
  <c r="AR36" i="10"/>
  <c r="AY36" i="10"/>
  <c r="BL36" i="10" s="1"/>
  <c r="BN34" i="10"/>
  <c r="BV34" i="10" s="1"/>
  <c r="BY34" i="10" s="1"/>
  <c r="BU35" i="10"/>
  <c r="BC34" i="12"/>
  <c r="BD34" i="12" s="1"/>
  <c r="BU36" i="13"/>
  <c r="BP37" i="13"/>
  <c r="BO37" i="13"/>
  <c r="AW38" i="13"/>
  <c r="BT37" i="13"/>
  <c r="V37" i="13"/>
  <c r="BM37" i="13"/>
  <c r="BR37" i="13"/>
  <c r="BI36" i="13"/>
  <c r="BH36" i="13"/>
  <c r="AJ34" i="12"/>
  <c r="AM34" i="12" s="1"/>
  <c r="BI35" i="12"/>
  <c r="AK36" i="12"/>
  <c r="BR36" i="12"/>
  <c r="AP36" i="12"/>
  <c r="AA36" i="12"/>
  <c r="AG37" i="12" s="1"/>
  <c r="AO36" i="12"/>
  <c r="Z36" i="12"/>
  <c r="BO36" i="12"/>
  <c r="AT36" i="12"/>
  <c r="AD36" i="12"/>
  <c r="BT36" i="12"/>
  <c r="AR36" i="12"/>
  <c r="V36" i="12"/>
  <c r="AY36" i="12"/>
  <c r="BL36" i="12" s="1"/>
  <c r="AW37" i="12"/>
  <c r="BK36" i="12"/>
  <c r="BM36" i="12"/>
  <c r="BP36" i="12"/>
  <c r="AU36" i="12"/>
  <c r="AQ36" i="12"/>
  <c r="Y36" i="12"/>
  <c r="AV36" i="12"/>
  <c r="BJ36" i="12" s="1"/>
  <c r="BB35" i="12"/>
  <c r="BH35" i="12"/>
  <c r="AB35" i="12"/>
  <c r="AC35" i="12" s="1"/>
  <c r="AE35" i="12"/>
  <c r="AI35" i="12" s="1"/>
  <c r="BU35" i="12"/>
  <c r="BI35" i="11"/>
  <c r="BH35" i="11"/>
  <c r="BU35" i="11"/>
  <c r="AW37" i="11"/>
  <c r="BP36" i="11"/>
  <c r="BT36" i="11"/>
  <c r="BO36" i="11"/>
  <c r="BR36" i="11"/>
  <c r="BM36" i="11"/>
  <c r="V36" i="11"/>
  <c r="BN34" i="11"/>
  <c r="BV34" i="11" s="1"/>
  <c r="BY34" i="11" s="1"/>
  <c r="BR36" i="10"/>
  <c r="BP36" i="10"/>
  <c r="BT36" i="10"/>
  <c r="BO36" i="10"/>
  <c r="BM36" i="10"/>
  <c r="V36" i="10"/>
  <c r="BI35" i="10"/>
  <c r="BH35" i="10"/>
  <c r="BN34" i="9"/>
  <c r="BV34" i="9" s="1"/>
  <c r="BY34" i="9" s="1"/>
  <c r="BR36" i="9"/>
  <c r="BO36" i="9"/>
  <c r="BP36" i="9"/>
  <c r="BM36" i="9"/>
  <c r="V36" i="9"/>
  <c r="AW37" i="9"/>
  <c r="BU35" i="9"/>
  <c r="BH35" i="9"/>
  <c r="BI35" i="9"/>
  <c r="AG38" i="13" l="1"/>
  <c r="AZ37" i="10"/>
  <c r="AW37" i="10"/>
  <c r="BK37" i="10" s="1"/>
  <c r="AX37" i="10"/>
  <c r="AG37" i="10"/>
  <c r="D21" i="2" a="1"/>
  <c r="D21" i="2" s="1"/>
  <c r="J21" i="2" a="1"/>
  <c r="J21" i="2" s="1"/>
  <c r="E21" i="2" a="1"/>
  <c r="E21" i="2" s="1"/>
  <c r="K21" i="2" a="1"/>
  <c r="K21" i="2" s="1"/>
  <c r="BD34" i="11"/>
  <c r="I21" i="2" a="1"/>
  <c r="I21" i="2" s="1"/>
  <c r="BT37" i="9" a="1"/>
  <c r="BT37" i="9" s="1"/>
  <c r="AF37" i="11"/>
  <c r="AF38" i="13"/>
  <c r="AM34" i="11"/>
  <c r="H21" i="2" a="1"/>
  <c r="H21" i="2" s="1"/>
  <c r="AF37" i="12"/>
  <c r="AF37" i="10"/>
  <c r="BD35" i="13"/>
  <c r="G22" i="2" a="1"/>
  <c r="G22" i="2" s="1"/>
  <c r="BD34" i="9"/>
  <c r="BA37" i="9"/>
  <c r="BA37" i="12"/>
  <c r="BA37" i="11"/>
  <c r="BN35" i="11"/>
  <c r="BV35" i="11" s="1"/>
  <c r="BY35" i="11" s="1"/>
  <c r="AM35" i="13"/>
  <c r="BD34" i="10"/>
  <c r="AM34" i="10"/>
  <c r="BC35" i="12"/>
  <c r="BD35" i="12" s="1"/>
  <c r="BC35" i="10"/>
  <c r="AS36" i="10"/>
  <c r="BC35" i="9"/>
  <c r="M22" i="2" s="1" a="1"/>
  <c r="M22" i="2" s="1"/>
  <c r="AS36" i="9"/>
  <c r="AJ35" i="11"/>
  <c r="F22" i="2" s="1" a="1"/>
  <c r="F22" i="2" s="1"/>
  <c r="BN35" i="12"/>
  <c r="BV35" i="12" s="1"/>
  <c r="BY35" i="12" s="1"/>
  <c r="AO37" i="9"/>
  <c r="AD37" i="9"/>
  <c r="Z37" i="9"/>
  <c r="Y37" i="9"/>
  <c r="AA37" i="9"/>
  <c r="AG38" i="9" s="1"/>
  <c r="AT37" i="9"/>
  <c r="AQ37" i="9"/>
  <c r="AZ38" i="9" s="1"/>
  <c r="AP37" i="9"/>
  <c r="BK37" i="9"/>
  <c r="AR37" i="9"/>
  <c r="AU37" i="9"/>
  <c r="AK38" i="9" s="1"/>
  <c r="AV37" i="9"/>
  <c r="BJ37" i="9" s="1"/>
  <c r="AY37" i="9"/>
  <c r="BL37" i="9" s="1"/>
  <c r="BB36" i="9"/>
  <c r="AB36" i="9"/>
  <c r="AC36" i="9" s="1"/>
  <c r="Y38" i="13"/>
  <c r="AT38" i="13"/>
  <c r="AQ38" i="13"/>
  <c r="AZ39" i="13" s="1"/>
  <c r="AO38" i="13"/>
  <c r="AD38" i="13"/>
  <c r="AP38" i="13"/>
  <c r="Z38" i="13"/>
  <c r="AA38" i="13"/>
  <c r="BK38" i="13"/>
  <c r="AU38" i="13"/>
  <c r="AK39" i="13" s="1"/>
  <c r="AV38" i="13"/>
  <c r="BJ38" i="13" s="1"/>
  <c r="AY38" i="13"/>
  <c r="BL38" i="13" s="1"/>
  <c r="AR38" i="13"/>
  <c r="AB37" i="13"/>
  <c r="AC37" i="13" s="1"/>
  <c r="AE37" i="13"/>
  <c r="AI37" i="13" s="1"/>
  <c r="AS37" i="13"/>
  <c r="BB37" i="13"/>
  <c r="AJ36" i="13"/>
  <c r="BC36" i="13"/>
  <c r="BA38" i="13"/>
  <c r="BC35" i="11"/>
  <c r="AE36" i="11"/>
  <c r="AI36" i="11" s="1"/>
  <c r="AB36" i="11"/>
  <c r="AC36" i="11" s="1"/>
  <c r="BB36" i="11"/>
  <c r="AK37" i="11"/>
  <c r="BK37" i="11"/>
  <c r="AT37" i="11"/>
  <c r="AR37" i="11"/>
  <c r="AD37" i="11"/>
  <c r="AA37" i="11"/>
  <c r="AG38" i="11" s="1"/>
  <c r="AQ37" i="11"/>
  <c r="AZ38" i="11" s="1"/>
  <c r="AP37" i="11"/>
  <c r="AO37" i="11"/>
  <c r="Z37" i="11"/>
  <c r="AY37" i="11"/>
  <c r="BL37" i="11" s="1"/>
  <c r="Y37" i="11"/>
  <c r="AU37" i="11"/>
  <c r="AK38" i="11" s="1"/>
  <c r="AV37" i="11"/>
  <c r="BJ37" i="11" s="1"/>
  <c r="AS36" i="11"/>
  <c r="AB36" i="10"/>
  <c r="AC36" i="10" s="1"/>
  <c r="AE36" i="10"/>
  <c r="AI36" i="10" s="1"/>
  <c r="BB36" i="10"/>
  <c r="BA37" i="10"/>
  <c r="AJ35" i="10"/>
  <c r="AD37" i="10"/>
  <c r="AA37" i="10"/>
  <c r="AH38" i="10" s="1"/>
  <c r="Z37" i="10"/>
  <c r="Y37" i="10"/>
  <c r="AT37" i="10"/>
  <c r="AQ37" i="10"/>
  <c r="AO37" i="10"/>
  <c r="AP37" i="10"/>
  <c r="AR37" i="10"/>
  <c r="AU37" i="10"/>
  <c r="AK38" i="10" s="1"/>
  <c r="AV37" i="10"/>
  <c r="BJ37" i="10" s="1"/>
  <c r="AY37" i="10"/>
  <c r="BL37" i="10" s="1"/>
  <c r="AS36" i="12"/>
  <c r="BU36" i="10"/>
  <c r="BI37" i="13"/>
  <c r="BH37" i="13"/>
  <c r="BP38" i="13"/>
  <c r="BO38" i="13"/>
  <c r="AW39" i="13"/>
  <c r="BT38" i="13"/>
  <c r="V38" i="13"/>
  <c r="BM38" i="13"/>
  <c r="BR38" i="13"/>
  <c r="BU37" i="13"/>
  <c r="BN36" i="13"/>
  <c r="BV36" i="13" s="1"/>
  <c r="BY36" i="13" s="1"/>
  <c r="BI36" i="12"/>
  <c r="AK37" i="12"/>
  <c r="BB36" i="12"/>
  <c r="BH36" i="12"/>
  <c r="AE36" i="12"/>
  <c r="AI36" i="12" s="1"/>
  <c r="AB36" i="12"/>
  <c r="AC36" i="12" s="1"/>
  <c r="BU36" i="12"/>
  <c r="AJ35" i="12"/>
  <c r="AM35" i="12" s="1"/>
  <c r="BP37" i="12"/>
  <c r="Y37" i="12"/>
  <c r="BO37" i="12"/>
  <c r="BM37" i="12"/>
  <c r="BK37" i="12"/>
  <c r="V37" i="12"/>
  <c r="AT37" i="12"/>
  <c r="BT37" i="12"/>
  <c r="AR37" i="12"/>
  <c r="AQ37" i="12"/>
  <c r="BR37" i="12"/>
  <c r="AP37" i="12"/>
  <c r="AA37" i="12"/>
  <c r="AG38" i="12" s="1"/>
  <c r="AD37" i="12"/>
  <c r="Z37" i="12"/>
  <c r="AW38" i="12"/>
  <c r="AU37" i="12"/>
  <c r="AO37" i="12"/>
  <c r="AY37" i="12"/>
  <c r="BL37" i="12" s="1"/>
  <c r="AV37" i="12"/>
  <c r="BJ37" i="12" s="1"/>
  <c r="BH36" i="11"/>
  <c r="BU36" i="11"/>
  <c r="BO37" i="11"/>
  <c r="AW38" i="11"/>
  <c r="BT37" i="11"/>
  <c r="BR37" i="11"/>
  <c r="V37" i="11"/>
  <c r="BP37" i="11"/>
  <c r="BM37" i="11"/>
  <c r="BI36" i="11"/>
  <c r="BH36" i="10"/>
  <c r="BP37" i="10"/>
  <c r="BO37" i="10"/>
  <c r="BT37" i="10"/>
  <c r="BR37" i="10"/>
  <c r="V37" i="10"/>
  <c r="BM37" i="10"/>
  <c r="BI36" i="10"/>
  <c r="BN35" i="10"/>
  <c r="BV35" i="10" s="1"/>
  <c r="BY35" i="10" s="1"/>
  <c r="BH36" i="9"/>
  <c r="BU36" i="9"/>
  <c r="BP37" i="9"/>
  <c r="BM37" i="9"/>
  <c r="V37" i="9"/>
  <c r="BR37" i="9"/>
  <c r="AW38" i="9"/>
  <c r="BO37" i="9"/>
  <c r="BI36" i="9"/>
  <c r="BN35" i="9"/>
  <c r="BV35" i="9" s="1"/>
  <c r="BY35" i="9" s="1"/>
  <c r="AG39" i="13" l="1"/>
  <c r="AZ38" i="10"/>
  <c r="AW38" i="10"/>
  <c r="AX38" i="10"/>
  <c r="AG38" i="10"/>
  <c r="E22" i="2" a="1"/>
  <c r="E22" i="2" s="1"/>
  <c r="K22" i="2" a="1"/>
  <c r="K22" i="2" s="1"/>
  <c r="AF38" i="10"/>
  <c r="BK38" i="10"/>
  <c r="AF38" i="12"/>
  <c r="BT38" i="9" a="1"/>
  <c r="BT38" i="9" s="1"/>
  <c r="BD35" i="11"/>
  <c r="I22" i="2" a="1"/>
  <c r="I22" i="2" s="1"/>
  <c r="AF38" i="11"/>
  <c r="D22" i="2" a="1"/>
  <c r="D22" i="2" s="1"/>
  <c r="J22" i="2" a="1"/>
  <c r="J22" i="2" s="1"/>
  <c r="AF39" i="13"/>
  <c r="AM35" i="11"/>
  <c r="H22" i="2" a="1"/>
  <c r="H22" i="2" s="1"/>
  <c r="BC36" i="9"/>
  <c r="M23" i="2" s="1" a="1"/>
  <c r="M23" i="2" s="1"/>
  <c r="BC36" i="10"/>
  <c r="BD35" i="9"/>
  <c r="AM36" i="13"/>
  <c r="BD35" i="10"/>
  <c r="BD36" i="13"/>
  <c r="AM35" i="10"/>
  <c r="AS37" i="10"/>
  <c r="BA38" i="12"/>
  <c r="AS37" i="9"/>
  <c r="BA38" i="10"/>
  <c r="BA38" i="9"/>
  <c r="AB37" i="9"/>
  <c r="AC37" i="9" s="1"/>
  <c r="BB37" i="9"/>
  <c r="AT38" i="9"/>
  <c r="AQ38" i="9"/>
  <c r="AZ39" i="9" s="1"/>
  <c r="AP38" i="9"/>
  <c r="AD38" i="9"/>
  <c r="AA38" i="9"/>
  <c r="AG39" i="9" s="1"/>
  <c r="Z38" i="9"/>
  <c r="Y38" i="9"/>
  <c r="AO38" i="9"/>
  <c r="BK38" i="9"/>
  <c r="AY38" i="9"/>
  <c r="BL38" i="9" s="1"/>
  <c r="AR38" i="9"/>
  <c r="AV38" i="9"/>
  <c r="BJ38" i="9" s="1"/>
  <c r="AU38" i="9"/>
  <c r="AK39" i="9" s="1"/>
  <c r="BN37" i="13"/>
  <c r="BV37" i="13" s="1"/>
  <c r="BY37" i="13" s="1"/>
  <c r="BC37" i="13"/>
  <c r="AB38" i="13"/>
  <c r="AC38" i="13" s="1"/>
  <c r="AE38" i="13"/>
  <c r="AI38" i="13" s="1"/>
  <c r="AA39" i="13"/>
  <c r="Z39" i="13"/>
  <c r="Y39" i="13"/>
  <c r="AT39" i="13"/>
  <c r="AR39" i="13"/>
  <c r="AQ39" i="13"/>
  <c r="AZ40" i="13" s="1"/>
  <c r="AP39" i="13"/>
  <c r="AO39" i="13"/>
  <c r="AD39" i="13"/>
  <c r="BK39" i="13"/>
  <c r="AV39" i="13"/>
  <c r="BJ39" i="13" s="1"/>
  <c r="AU39" i="13"/>
  <c r="AY39" i="13"/>
  <c r="BL39" i="13" s="1"/>
  <c r="AJ37" i="13"/>
  <c r="BB38" i="13"/>
  <c r="AS38" i="13"/>
  <c r="BA39" i="13"/>
  <c r="AS37" i="11"/>
  <c r="AJ36" i="11"/>
  <c r="F23" i="2" s="1" a="1"/>
  <c r="F23" i="2" s="1"/>
  <c r="AT38" i="11"/>
  <c r="AR38" i="11"/>
  <c r="AA38" i="11"/>
  <c r="AG39" i="11" s="1"/>
  <c r="AQ38" i="11"/>
  <c r="AZ39" i="11" s="1"/>
  <c r="AP38" i="11"/>
  <c r="AO38" i="11"/>
  <c r="AD38" i="11"/>
  <c r="Z38" i="11"/>
  <c r="Y38" i="11"/>
  <c r="AY38" i="11"/>
  <c r="BL38" i="11" s="1"/>
  <c r="BK38" i="11"/>
  <c r="AV38" i="11"/>
  <c r="BJ38" i="11" s="1"/>
  <c r="AU38" i="11"/>
  <c r="BA38" i="11"/>
  <c r="AE37" i="11"/>
  <c r="AI37" i="11" s="1"/>
  <c r="AB37" i="11"/>
  <c r="AC37" i="11" s="1"/>
  <c r="BB37" i="11"/>
  <c r="BC36" i="11"/>
  <c r="G23" i="2" s="1" a="1"/>
  <c r="G23" i="2" s="1"/>
  <c r="BN36" i="12"/>
  <c r="BV36" i="12" s="1"/>
  <c r="BY36" i="12" s="1"/>
  <c r="BC36" i="12"/>
  <c r="BD36" i="12" s="1"/>
  <c r="BB37" i="10"/>
  <c r="AJ36" i="10"/>
  <c r="AB37" i="10"/>
  <c r="AC37" i="10" s="1"/>
  <c r="AE37" i="10"/>
  <c r="AI37" i="10" s="1"/>
  <c r="AQ38" i="10"/>
  <c r="AP38" i="10"/>
  <c r="AO38" i="10"/>
  <c r="AD38" i="10"/>
  <c r="Z38" i="10"/>
  <c r="Y38" i="10"/>
  <c r="AT38" i="10"/>
  <c r="AA38" i="10"/>
  <c r="AR38" i="10"/>
  <c r="AV38" i="10"/>
  <c r="BJ38" i="10" s="1"/>
  <c r="AU38" i="10"/>
  <c r="AK39" i="10" s="1"/>
  <c r="AY38" i="10"/>
  <c r="BU38" i="13"/>
  <c r="BP39" i="13"/>
  <c r="AW40" i="13"/>
  <c r="BO39" i="13"/>
  <c r="BT39" i="13"/>
  <c r="V39" i="13"/>
  <c r="BM39" i="13"/>
  <c r="BR39" i="13"/>
  <c r="BI38" i="13"/>
  <c r="BH38" i="13"/>
  <c r="AJ36" i="12"/>
  <c r="AM36" i="12" s="1"/>
  <c r="AS37" i="12"/>
  <c r="BH37" i="12"/>
  <c r="BB37" i="12"/>
  <c r="BI37" i="12"/>
  <c r="AK38" i="12"/>
  <c r="BP38" i="12"/>
  <c r="Y38" i="12"/>
  <c r="BO38" i="12"/>
  <c r="BM38" i="12"/>
  <c r="BK38" i="12"/>
  <c r="V38" i="12"/>
  <c r="AT38" i="12"/>
  <c r="BT38" i="12"/>
  <c r="AR38" i="12"/>
  <c r="AQ38" i="12"/>
  <c r="BR38" i="12"/>
  <c r="AP38" i="12"/>
  <c r="AA38" i="12"/>
  <c r="AG39" i="12" s="1"/>
  <c r="AO38" i="12"/>
  <c r="Z38" i="12"/>
  <c r="AY38" i="12"/>
  <c r="BL38" i="12" s="1"/>
  <c r="AU38" i="12"/>
  <c r="AD38" i="12"/>
  <c r="AW39" i="12"/>
  <c r="AV38" i="12"/>
  <c r="BJ38" i="12" s="1"/>
  <c r="AE37" i="12"/>
  <c r="AI37" i="12" s="1"/>
  <c r="AB37" i="12"/>
  <c r="AC37" i="12" s="1"/>
  <c r="BU37" i="12"/>
  <c r="BU37" i="11"/>
  <c r="BI37" i="11"/>
  <c r="BN36" i="11"/>
  <c r="BV36" i="11" s="1"/>
  <c r="BY36" i="11" s="1"/>
  <c r="BH37" i="11"/>
  <c r="BO38" i="11"/>
  <c r="AW39" i="11"/>
  <c r="BT38" i="11"/>
  <c r="BR38" i="11"/>
  <c r="BP38" i="11"/>
  <c r="BM38" i="11"/>
  <c r="V38" i="11"/>
  <c r="BU37" i="10"/>
  <c r="BP38" i="10"/>
  <c r="BO38" i="10"/>
  <c r="BT38" i="10"/>
  <c r="BR38" i="10"/>
  <c r="BM38" i="10"/>
  <c r="V38" i="10"/>
  <c r="BI37" i="10"/>
  <c r="BN36" i="10"/>
  <c r="BV36" i="10" s="1"/>
  <c r="BY36" i="10" s="1"/>
  <c r="BH37" i="10"/>
  <c r="BP38" i="9"/>
  <c r="BM38" i="9"/>
  <c r="V38" i="9"/>
  <c r="AW39" i="9"/>
  <c r="BO38" i="9"/>
  <c r="BR38" i="9"/>
  <c r="BI37" i="9"/>
  <c r="BU37" i="9"/>
  <c r="BH37" i="9"/>
  <c r="BN36" i="9"/>
  <c r="BV36" i="9" s="1"/>
  <c r="BY36" i="9" s="1"/>
  <c r="AH39" i="10" l="1"/>
  <c r="AG40" i="13"/>
  <c r="AZ39" i="10"/>
  <c r="AG39" i="10"/>
  <c r="AW39" i="10"/>
  <c r="BK39" i="10" s="1"/>
  <c r="AX39" i="10"/>
  <c r="AF39" i="12"/>
  <c r="BD36" i="11"/>
  <c r="I23" i="2" a="1"/>
  <c r="I23" i="2" s="1"/>
  <c r="BT39" i="9" a="1"/>
  <c r="BT39" i="9" s="1"/>
  <c r="AF39" i="10"/>
  <c r="AM36" i="11"/>
  <c r="H23" i="2" a="1"/>
  <c r="H23" i="2" s="1"/>
  <c r="AF39" i="11"/>
  <c r="AF40" i="13"/>
  <c r="E23" i="2" a="1"/>
  <c r="E23" i="2" s="1"/>
  <c r="K23" i="2" a="1"/>
  <c r="K23" i="2" s="1"/>
  <c r="D23" i="2" a="1"/>
  <c r="D23" i="2" s="1"/>
  <c r="J23" i="2" a="1"/>
  <c r="J23" i="2" s="1"/>
  <c r="BC37" i="10"/>
  <c r="BD36" i="10"/>
  <c r="BD36" i="9"/>
  <c r="BC37" i="11"/>
  <c r="G24" i="2" s="1" a="1"/>
  <c r="G24" i="2" s="1"/>
  <c r="BC37" i="9"/>
  <c r="M24" i="2" s="1" a="1"/>
  <c r="M24" i="2" s="1"/>
  <c r="AM37" i="13"/>
  <c r="BD37" i="13"/>
  <c r="AM36" i="10"/>
  <c r="BC38" i="13"/>
  <c r="AS38" i="11"/>
  <c r="BA39" i="12"/>
  <c r="AT39" i="9"/>
  <c r="AQ39" i="9"/>
  <c r="AZ40" i="9" s="1"/>
  <c r="AP39" i="9"/>
  <c r="AO39" i="9"/>
  <c r="AA39" i="9"/>
  <c r="AG40" i="9" s="1"/>
  <c r="AR39" i="9"/>
  <c r="AD39" i="9"/>
  <c r="Z39" i="9"/>
  <c r="Y39" i="9"/>
  <c r="BK39" i="9"/>
  <c r="AV39" i="9"/>
  <c r="BJ39" i="9" s="1"/>
  <c r="AY39" i="9"/>
  <c r="BL39" i="9" s="1"/>
  <c r="AU39" i="9"/>
  <c r="AK40" i="9" s="1"/>
  <c r="BB38" i="9"/>
  <c r="AS38" i="9"/>
  <c r="BA39" i="9"/>
  <c r="AB38" i="9"/>
  <c r="AC38" i="9" s="1"/>
  <c r="AS39" i="13"/>
  <c r="AB39" i="13"/>
  <c r="AC39" i="13" s="1"/>
  <c r="AE39" i="13"/>
  <c r="AI39" i="13" s="1"/>
  <c r="AD40" i="13"/>
  <c r="AA40" i="13"/>
  <c r="Z40" i="13"/>
  <c r="AY40" i="13"/>
  <c r="BL40" i="13" s="1"/>
  <c r="Y40" i="13"/>
  <c r="AR40" i="13"/>
  <c r="BK40" i="13"/>
  <c r="AT40" i="13"/>
  <c r="AQ40" i="13"/>
  <c r="AZ41" i="13" s="1"/>
  <c r="AO40" i="13"/>
  <c r="AP40" i="13"/>
  <c r="AU40" i="13"/>
  <c r="AK41" i="13" s="1"/>
  <c r="AV40" i="13"/>
  <c r="BJ40" i="13" s="1"/>
  <c r="BB39" i="13"/>
  <c r="AK40" i="13"/>
  <c r="AJ38" i="13"/>
  <c r="BA40" i="13"/>
  <c r="BA39" i="11"/>
  <c r="AJ37" i="11"/>
  <c r="F24" i="2" s="1" a="1"/>
  <c r="F24" i="2" s="1"/>
  <c r="BB38" i="11"/>
  <c r="AK39" i="11"/>
  <c r="AB38" i="11"/>
  <c r="AC38" i="11" s="1"/>
  <c r="AE38" i="11"/>
  <c r="AI38" i="11" s="1"/>
  <c r="AR39" i="11"/>
  <c r="AD39" i="11"/>
  <c r="Z39" i="11"/>
  <c r="AY39" i="11"/>
  <c r="BL39" i="11" s="1"/>
  <c r="AQ39" i="11"/>
  <c r="AZ40" i="11" s="1"/>
  <c r="Y39" i="11"/>
  <c r="AP39" i="11"/>
  <c r="AO39" i="11"/>
  <c r="AA39" i="11"/>
  <c r="AG40" i="11" s="1"/>
  <c r="AT39" i="11"/>
  <c r="BK39" i="11"/>
  <c r="AU39" i="11"/>
  <c r="AK40" i="11" s="1"/>
  <c r="AV39" i="11"/>
  <c r="BJ39" i="11" s="1"/>
  <c r="BB38" i="10"/>
  <c r="BA39" i="10"/>
  <c r="AJ37" i="10"/>
  <c r="AS38" i="10"/>
  <c r="BL38" i="10"/>
  <c r="AO39" i="10"/>
  <c r="AT39" i="10"/>
  <c r="AP39" i="10"/>
  <c r="AR39" i="10"/>
  <c r="AQ39" i="10"/>
  <c r="AD39" i="10"/>
  <c r="AA39" i="10"/>
  <c r="AH40" i="10" s="1"/>
  <c r="Z39" i="10"/>
  <c r="Y39" i="10"/>
  <c r="AU39" i="10"/>
  <c r="AK40" i="10" s="1"/>
  <c r="AV39" i="10"/>
  <c r="BJ39" i="10" s="1"/>
  <c r="AY39" i="10"/>
  <c r="BL39" i="10" s="1"/>
  <c r="AB38" i="10"/>
  <c r="AC38" i="10" s="1"/>
  <c r="AE38" i="10"/>
  <c r="AI38" i="10" s="1"/>
  <c r="AS38" i="12"/>
  <c r="BN38" i="13"/>
  <c r="BV38" i="13" s="1"/>
  <c r="BY38" i="13" s="1"/>
  <c r="BN37" i="9"/>
  <c r="BV37" i="9" s="1"/>
  <c r="BY37" i="9" s="1"/>
  <c r="BH39" i="13"/>
  <c r="BU39" i="13"/>
  <c r="AW41" i="13"/>
  <c r="BO40" i="13"/>
  <c r="BM40" i="13"/>
  <c r="V40" i="13"/>
  <c r="BR40" i="13"/>
  <c r="BT40" i="13"/>
  <c r="BP40" i="13"/>
  <c r="BI39" i="13"/>
  <c r="AJ37" i="12"/>
  <c r="AM37" i="12" s="1"/>
  <c r="BU38" i="12"/>
  <c r="AE38" i="12"/>
  <c r="AI38" i="12" s="1"/>
  <c r="AB38" i="12"/>
  <c r="AC38" i="12" s="1"/>
  <c r="BP39" i="12"/>
  <c r="Y39" i="12"/>
  <c r="AW40" i="12"/>
  <c r="BO39" i="12"/>
  <c r="BM39" i="12"/>
  <c r="BK39" i="12"/>
  <c r="V39" i="12"/>
  <c r="AT39" i="12"/>
  <c r="BT39" i="12"/>
  <c r="AR39" i="12"/>
  <c r="AQ39" i="12"/>
  <c r="BR39" i="12"/>
  <c r="AP39" i="12"/>
  <c r="AA39" i="12"/>
  <c r="AG40" i="12" s="1"/>
  <c r="AY39" i="12"/>
  <c r="BL39" i="12" s="1"/>
  <c r="AD39" i="12"/>
  <c r="Z39" i="12"/>
  <c r="AO39" i="12"/>
  <c r="AV39" i="12"/>
  <c r="BJ39" i="12" s="1"/>
  <c r="AU39" i="12"/>
  <c r="BI38" i="12"/>
  <c r="AK39" i="12"/>
  <c r="BN37" i="12"/>
  <c r="BV37" i="12" s="1"/>
  <c r="BY37" i="12" s="1"/>
  <c r="BH38" i="12"/>
  <c r="BB38" i="12"/>
  <c r="BC37" i="12"/>
  <c r="BD37" i="12" s="1"/>
  <c r="BH38" i="11"/>
  <c r="AW40" i="11"/>
  <c r="BO39" i="11"/>
  <c r="BT39" i="11"/>
  <c r="BR39" i="11"/>
  <c r="BM39" i="11"/>
  <c r="V39" i="11"/>
  <c r="BP39" i="11"/>
  <c r="BU38" i="11"/>
  <c r="BI38" i="11"/>
  <c r="BN37" i="11"/>
  <c r="BV37" i="11" s="1"/>
  <c r="BY37" i="11" s="1"/>
  <c r="BI38" i="10"/>
  <c r="BH38" i="10"/>
  <c r="BP39" i="10"/>
  <c r="BO39" i="10"/>
  <c r="BT39" i="10"/>
  <c r="BR39" i="10"/>
  <c r="BM39" i="10"/>
  <c r="V39" i="10"/>
  <c r="BU38" i="10"/>
  <c r="BN37" i="10"/>
  <c r="BV37" i="10" s="1"/>
  <c r="BY37" i="10" s="1"/>
  <c r="BU38" i="9"/>
  <c r="BI38" i="9"/>
  <c r="BP39" i="9"/>
  <c r="BM39" i="9"/>
  <c r="V39" i="9"/>
  <c r="BO39" i="9"/>
  <c r="BR39" i="9"/>
  <c r="AW40" i="9"/>
  <c r="BH38" i="9"/>
  <c r="AG41" i="13" l="1"/>
  <c r="AZ40" i="10"/>
  <c r="AW40" i="10"/>
  <c r="AX40" i="10"/>
  <c r="AG40" i="10"/>
  <c r="E24" i="2" a="1"/>
  <c r="E24" i="2" s="1"/>
  <c r="K24" i="2" a="1"/>
  <c r="K24" i="2" s="1"/>
  <c r="AF40" i="10"/>
  <c r="BK40" i="10"/>
  <c r="AF41" i="13"/>
  <c r="BT40" i="9" a="1"/>
  <c r="BT40" i="9" s="1"/>
  <c r="AM37" i="11"/>
  <c r="H24" i="2" a="1"/>
  <c r="H24" i="2" s="1"/>
  <c r="AF40" i="11"/>
  <c r="BD37" i="10"/>
  <c r="AF40" i="12"/>
  <c r="BD37" i="11"/>
  <c r="I24" i="2" a="1"/>
  <c r="I24" i="2" s="1"/>
  <c r="D24" i="2" a="1"/>
  <c r="D24" i="2" s="1"/>
  <c r="J24" i="2" a="1"/>
  <c r="J24" i="2" s="1"/>
  <c r="BD37" i="9"/>
  <c r="BC38" i="11"/>
  <c r="G25" i="2" s="1" a="1"/>
  <c r="G25" i="2" s="1"/>
  <c r="AM38" i="13"/>
  <c r="BD38" i="13"/>
  <c r="AM37" i="10"/>
  <c r="BC38" i="9"/>
  <c r="M25" i="2" s="1" a="1"/>
  <c r="M25" i="2" s="1"/>
  <c r="BC39" i="13"/>
  <c r="BA40" i="12"/>
  <c r="BC38" i="12"/>
  <c r="BD38" i="12" s="1"/>
  <c r="AS39" i="9"/>
  <c r="BB39" i="9"/>
  <c r="Z40" i="9"/>
  <c r="AY40" i="9"/>
  <c r="BL40" i="9" s="1"/>
  <c r="Y40" i="9"/>
  <c r="BK40" i="9"/>
  <c r="AR40" i="9"/>
  <c r="AQ40" i="9"/>
  <c r="AZ41" i="9" s="1"/>
  <c r="AP40" i="9"/>
  <c r="AD40" i="9"/>
  <c r="AO40" i="9"/>
  <c r="AT40" i="9"/>
  <c r="AA40" i="9"/>
  <c r="AG41" i="9" s="1"/>
  <c r="AU40" i="9"/>
  <c r="AK41" i="9" s="1"/>
  <c r="AV40" i="9"/>
  <c r="BJ40" i="9" s="1"/>
  <c r="BA40" i="9"/>
  <c r="AB39" i="9"/>
  <c r="AC39" i="9" s="1"/>
  <c r="AE40" i="13"/>
  <c r="AI40" i="13" s="1"/>
  <c r="AB40" i="13"/>
  <c r="AC40" i="13" s="1"/>
  <c r="AJ39" i="13"/>
  <c r="AS40" i="13"/>
  <c r="AD41" i="13"/>
  <c r="Z41" i="13"/>
  <c r="AY41" i="13"/>
  <c r="BL41" i="13" s="1"/>
  <c r="Y41" i="13"/>
  <c r="BK41" i="13"/>
  <c r="AR41" i="13"/>
  <c r="AT41" i="13"/>
  <c r="AQ41" i="13"/>
  <c r="AZ42" i="13" s="1"/>
  <c r="AP41" i="13"/>
  <c r="AO41" i="13"/>
  <c r="AA41" i="13"/>
  <c r="AV41" i="13"/>
  <c r="BJ41" i="13" s="1"/>
  <c r="AU41" i="13"/>
  <c r="AK42" i="13" s="1"/>
  <c r="BB40" i="13"/>
  <c r="BA41" i="13"/>
  <c r="AS39" i="11"/>
  <c r="AJ38" i="11"/>
  <c r="F25" i="2" s="1" a="1"/>
  <c r="F25" i="2" s="1"/>
  <c r="AB39" i="11"/>
  <c r="AC39" i="11" s="1"/>
  <c r="AE39" i="11"/>
  <c r="AI39" i="11" s="1"/>
  <c r="BA40" i="11"/>
  <c r="BB39" i="11"/>
  <c r="AQ40" i="11"/>
  <c r="AZ41" i="11" s="1"/>
  <c r="AP40" i="11"/>
  <c r="AA40" i="11"/>
  <c r="AG41" i="11" s="1"/>
  <c r="AO40" i="11"/>
  <c r="Z40" i="11"/>
  <c r="AY40" i="11"/>
  <c r="BL40" i="11" s="1"/>
  <c r="BK40" i="11"/>
  <c r="AD40" i="11"/>
  <c r="Y40" i="11"/>
  <c r="AT40" i="11"/>
  <c r="AR40" i="11"/>
  <c r="AU40" i="11"/>
  <c r="AK41" i="11" s="1"/>
  <c r="AV40" i="11"/>
  <c r="BJ40" i="11" s="1"/>
  <c r="BB39" i="10"/>
  <c r="BA40" i="10"/>
  <c r="AJ38" i="10"/>
  <c r="AS39" i="10"/>
  <c r="AY40" i="10"/>
  <c r="BL40" i="10" s="1"/>
  <c r="Y40" i="10"/>
  <c r="AQ40" i="10"/>
  <c r="AT40" i="10"/>
  <c r="AR40" i="10"/>
  <c r="AO40" i="10"/>
  <c r="AD40" i="10"/>
  <c r="AP40" i="10"/>
  <c r="Z40" i="10"/>
  <c r="AA40" i="10"/>
  <c r="AH41" i="10" s="1"/>
  <c r="AU40" i="10"/>
  <c r="AV40" i="10"/>
  <c r="BJ40" i="10" s="1"/>
  <c r="AB39" i="10"/>
  <c r="AC39" i="10" s="1"/>
  <c r="AE39" i="10"/>
  <c r="AI39" i="10" s="1"/>
  <c r="BC38" i="10"/>
  <c r="BN38" i="10"/>
  <c r="BV38" i="10" s="1"/>
  <c r="BY38" i="10" s="1"/>
  <c r="BU39" i="10"/>
  <c r="BN38" i="9"/>
  <c r="BV38" i="9" s="1"/>
  <c r="BY38" i="9" s="1"/>
  <c r="BI40" i="13"/>
  <c r="BH40" i="13"/>
  <c r="BN39" i="13"/>
  <c r="BV39" i="13" s="1"/>
  <c r="BY39" i="13" s="1"/>
  <c r="BU40" i="13"/>
  <c r="BM41" i="13"/>
  <c r="V41" i="13"/>
  <c r="BT41" i="13"/>
  <c r="BR41" i="13"/>
  <c r="AW42" i="13"/>
  <c r="BP41" i="13"/>
  <c r="BO41" i="13"/>
  <c r="BU39" i="12"/>
  <c r="AW41" i="12"/>
  <c r="BO40" i="12"/>
  <c r="AY40" i="12"/>
  <c r="BL40" i="12" s="1"/>
  <c r="AD40" i="12"/>
  <c r="AQ40" i="12"/>
  <c r="BR40" i="12"/>
  <c r="AP40" i="12"/>
  <c r="AA40" i="12"/>
  <c r="AG41" i="12" s="1"/>
  <c r="AO40" i="12"/>
  <c r="Z40" i="12"/>
  <c r="Y40" i="12"/>
  <c r="V40" i="12"/>
  <c r="AT40" i="12"/>
  <c r="AR40" i="12"/>
  <c r="BT40" i="12"/>
  <c r="BP40" i="12"/>
  <c r="BM40" i="12"/>
  <c r="BK40" i="12"/>
  <c r="AU40" i="12"/>
  <c r="AV40" i="12"/>
  <c r="BJ40" i="12" s="1"/>
  <c r="BI39" i="12"/>
  <c r="AK40" i="12"/>
  <c r="AJ38" i="12"/>
  <c r="AM38" i="12" s="1"/>
  <c r="AS39" i="12"/>
  <c r="BB39" i="12"/>
  <c r="BH39" i="12"/>
  <c r="BN38" i="12"/>
  <c r="BV38" i="12" s="1"/>
  <c r="BY38" i="12" s="1"/>
  <c r="AE39" i="12"/>
  <c r="AI39" i="12" s="1"/>
  <c r="AB39" i="12"/>
  <c r="AC39" i="12" s="1"/>
  <c r="BH39" i="11"/>
  <c r="BU39" i="11"/>
  <c r="BM40" i="11"/>
  <c r="V40" i="11"/>
  <c r="BT40" i="11"/>
  <c r="BR40" i="11"/>
  <c r="AW41" i="11"/>
  <c r="BO40" i="11"/>
  <c r="BP40" i="11"/>
  <c r="BI39" i="11"/>
  <c r="BN38" i="11"/>
  <c r="BV38" i="11" s="1"/>
  <c r="BY38" i="11" s="1"/>
  <c r="BO40" i="10"/>
  <c r="BM40" i="10"/>
  <c r="V40" i="10"/>
  <c r="BR40" i="10"/>
  <c r="BP40" i="10"/>
  <c r="BT40" i="10"/>
  <c r="BH39" i="10"/>
  <c r="BI39" i="10"/>
  <c r="AW41" i="9"/>
  <c r="BO40" i="9"/>
  <c r="BR40" i="9"/>
  <c r="BP40" i="9"/>
  <c r="BM40" i="9"/>
  <c r="V40" i="9"/>
  <c r="BU39" i="9"/>
  <c r="BH39" i="9"/>
  <c r="BI39" i="9"/>
  <c r="AG42" i="13" l="1"/>
  <c r="AZ41" i="10"/>
  <c r="AG41" i="10"/>
  <c r="AW41" i="10"/>
  <c r="BK41" i="10" s="1"/>
  <c r="AX41" i="10"/>
  <c r="AF41" i="10"/>
  <c r="AF41" i="12"/>
  <c r="D25" i="2" a="1"/>
  <c r="D25" i="2" s="1"/>
  <c r="J25" i="2" a="1"/>
  <c r="J25" i="2" s="1"/>
  <c r="AF41" i="11"/>
  <c r="AF42" i="13"/>
  <c r="BD38" i="11"/>
  <c r="I25" i="2" a="1"/>
  <c r="I25" i="2" s="1"/>
  <c r="BT41" i="9" a="1"/>
  <c r="BT41" i="9" s="1"/>
  <c r="AM38" i="11"/>
  <c r="H25" i="2" a="1"/>
  <c r="H25" i="2" s="1"/>
  <c r="E25" i="2" a="1"/>
  <c r="E25" i="2" s="1"/>
  <c r="K25" i="2" a="1"/>
  <c r="K25" i="2" s="1"/>
  <c r="BA41" i="9"/>
  <c r="BD38" i="9"/>
  <c r="AM39" i="13"/>
  <c r="BD38" i="10"/>
  <c r="BD39" i="13"/>
  <c r="AM38" i="10"/>
  <c r="BA41" i="10"/>
  <c r="BA41" i="12"/>
  <c r="BC39" i="10"/>
  <c r="BC39" i="9"/>
  <c r="M26" i="2" s="1" a="1"/>
  <c r="M26" i="2" s="1"/>
  <c r="BC40" i="13"/>
  <c r="AJ40" i="13"/>
  <c r="BC39" i="11"/>
  <c r="G26" i="2" s="1" a="1"/>
  <c r="G26" i="2" s="1"/>
  <c r="AS40" i="9"/>
  <c r="BB40" i="9"/>
  <c r="AY41" i="9"/>
  <c r="BL41" i="9" s="1"/>
  <c r="Y41" i="9"/>
  <c r="BK41" i="9"/>
  <c r="AT41" i="9"/>
  <c r="AR41" i="9"/>
  <c r="AQ41" i="9"/>
  <c r="AZ42" i="9" s="1"/>
  <c r="AP41" i="9"/>
  <c r="AO41" i="9"/>
  <c r="AD41" i="9"/>
  <c r="AA41" i="9"/>
  <c r="AG42" i="9" s="1"/>
  <c r="Z41" i="9"/>
  <c r="AU41" i="9"/>
  <c r="AK42" i="9" s="1"/>
  <c r="AV41" i="9"/>
  <c r="BJ41" i="9" s="1"/>
  <c r="AE40" i="9"/>
  <c r="AI40" i="9" s="1"/>
  <c r="AB40" i="9"/>
  <c r="AC40" i="9" s="1"/>
  <c r="AS41" i="13"/>
  <c r="AB41" i="13"/>
  <c r="AC41" i="13" s="1"/>
  <c r="AE41" i="13"/>
  <c r="AI41" i="13" s="1"/>
  <c r="BB41" i="13"/>
  <c r="AA42" i="13"/>
  <c r="Z42" i="13"/>
  <c r="BK42" i="13"/>
  <c r="Y42" i="13"/>
  <c r="AT42" i="13"/>
  <c r="AR42" i="13"/>
  <c r="AO42" i="13"/>
  <c r="AQ42" i="13"/>
  <c r="AZ43" i="13" s="1"/>
  <c r="AP42" i="13"/>
  <c r="AD42" i="13"/>
  <c r="AY42" i="13"/>
  <c r="BL42" i="13" s="1"/>
  <c r="AU42" i="13"/>
  <c r="AK43" i="13" s="1"/>
  <c r="AV42" i="13"/>
  <c r="BJ42" i="13" s="1"/>
  <c r="BA42" i="13"/>
  <c r="AS40" i="11"/>
  <c r="BA41" i="11"/>
  <c r="AP41" i="11"/>
  <c r="Z41" i="11"/>
  <c r="Y41" i="11"/>
  <c r="AO41" i="11"/>
  <c r="AY41" i="11"/>
  <c r="BL41" i="11" s="1"/>
  <c r="BK41" i="11"/>
  <c r="AD41" i="11"/>
  <c r="AA41" i="11"/>
  <c r="AG42" i="11" s="1"/>
  <c r="AT41" i="11"/>
  <c r="AQ41" i="11"/>
  <c r="AZ42" i="11" s="1"/>
  <c r="AR41" i="11"/>
  <c r="AU41" i="11"/>
  <c r="AK42" i="11" s="1"/>
  <c r="AV41" i="11"/>
  <c r="BJ41" i="11" s="1"/>
  <c r="BB40" i="11"/>
  <c r="AB40" i="11"/>
  <c r="AC40" i="11" s="1"/>
  <c r="AE40" i="11"/>
  <c r="AI40" i="11" s="1"/>
  <c r="AJ39" i="11"/>
  <c r="F26" i="2" s="1" a="1"/>
  <c r="F26" i="2" s="1"/>
  <c r="AS40" i="10"/>
  <c r="AE40" i="10"/>
  <c r="AI40" i="10" s="1"/>
  <c r="AB40" i="10"/>
  <c r="AC40" i="10" s="1"/>
  <c r="AJ39" i="10"/>
  <c r="AP41" i="10"/>
  <c r="AO41" i="10"/>
  <c r="AT41" i="10"/>
  <c r="AR41" i="10"/>
  <c r="AQ41" i="10"/>
  <c r="AD41" i="10"/>
  <c r="Y41" i="10"/>
  <c r="AA41" i="10"/>
  <c r="AH42" i="10" s="1"/>
  <c r="AY41" i="10"/>
  <c r="BL41" i="10" s="1"/>
  <c r="Z41" i="10"/>
  <c r="AV41" i="10"/>
  <c r="BJ41" i="10" s="1"/>
  <c r="AU41" i="10"/>
  <c r="AK42" i="10" s="1"/>
  <c r="BB40" i="10"/>
  <c r="AK41" i="10"/>
  <c r="BN40" i="13"/>
  <c r="BV40" i="13" s="1"/>
  <c r="BY40" i="13" s="1"/>
  <c r="BU40" i="10"/>
  <c r="BU41" i="13"/>
  <c r="BM42" i="13"/>
  <c r="V42" i="13"/>
  <c r="BP42" i="13"/>
  <c r="BT42" i="13"/>
  <c r="BR42" i="13"/>
  <c r="AW43" i="13"/>
  <c r="BO42" i="13"/>
  <c r="BH41" i="13"/>
  <c r="BI41" i="13"/>
  <c r="AS40" i="12"/>
  <c r="AJ39" i="12"/>
  <c r="AM39" i="12" s="1"/>
  <c r="BI40" i="12"/>
  <c r="AK41" i="12"/>
  <c r="BN39" i="12"/>
  <c r="BV39" i="12" s="1"/>
  <c r="BY39" i="12" s="1"/>
  <c r="BC39" i="12"/>
  <c r="BD39" i="12" s="1"/>
  <c r="BH40" i="12"/>
  <c r="BB40" i="12"/>
  <c r="AB40" i="12"/>
  <c r="AC40" i="12" s="1"/>
  <c r="AE40" i="12"/>
  <c r="AI40" i="12" s="1"/>
  <c r="BU40" i="12"/>
  <c r="AY41" i="12"/>
  <c r="BL41" i="12" s="1"/>
  <c r="BM41" i="12"/>
  <c r="BK41" i="12"/>
  <c r="V41" i="12"/>
  <c r="BT41" i="12"/>
  <c r="AR41" i="12"/>
  <c r="BR41" i="12"/>
  <c r="AP41" i="12"/>
  <c r="AA41" i="12"/>
  <c r="AG42" i="12" s="1"/>
  <c r="AO41" i="12"/>
  <c r="Z41" i="12"/>
  <c r="BP41" i="12"/>
  <c r="Y41" i="12"/>
  <c r="BO41" i="12"/>
  <c r="AD41" i="12"/>
  <c r="AW42" i="12"/>
  <c r="AT41" i="12"/>
  <c r="AV41" i="12"/>
  <c r="BJ41" i="12" s="1"/>
  <c r="AQ41" i="12"/>
  <c r="AU41" i="12"/>
  <c r="BH40" i="11"/>
  <c r="BI40" i="11"/>
  <c r="BU40" i="11"/>
  <c r="BM41" i="11"/>
  <c r="V41" i="11"/>
  <c r="BT41" i="11"/>
  <c r="BR41" i="11"/>
  <c r="BP41" i="11"/>
  <c r="AW42" i="11"/>
  <c r="BO41" i="11"/>
  <c r="BN39" i="11"/>
  <c r="BV39" i="11" s="1"/>
  <c r="BY39" i="11" s="1"/>
  <c r="BN39" i="10"/>
  <c r="BV39" i="10" s="1"/>
  <c r="BY39" i="10" s="1"/>
  <c r="BM41" i="10"/>
  <c r="V41" i="10"/>
  <c r="BT41" i="10"/>
  <c r="BR41" i="10"/>
  <c r="BP41" i="10"/>
  <c r="BO41" i="10"/>
  <c r="BH40" i="10"/>
  <c r="BI40" i="10"/>
  <c r="BH40" i="9"/>
  <c r="BI40" i="9"/>
  <c r="BN39" i="9"/>
  <c r="BV39" i="9" s="1"/>
  <c r="BY39" i="9" s="1"/>
  <c r="BU40" i="9"/>
  <c r="BP41" i="9"/>
  <c r="AW42" i="9"/>
  <c r="BR41" i="9"/>
  <c r="V41" i="9"/>
  <c r="BM41" i="9"/>
  <c r="BO41" i="9"/>
  <c r="AG43" i="13" l="1"/>
  <c r="AZ42" i="10"/>
  <c r="AW42" i="10"/>
  <c r="BK42" i="10" s="1"/>
  <c r="AX42" i="10"/>
  <c r="AG42" i="10"/>
  <c r="AM39" i="11"/>
  <c r="H26" i="2" a="1"/>
  <c r="H26" i="2" s="1"/>
  <c r="E26" i="2" a="1"/>
  <c r="E26" i="2" s="1"/>
  <c r="K26" i="2" a="1"/>
  <c r="K26" i="2" s="1"/>
  <c r="BT42" i="9" a="1"/>
  <c r="BT42" i="9" s="1"/>
  <c r="AF42" i="10"/>
  <c r="AF42" i="11"/>
  <c r="AF43" i="13"/>
  <c r="AF42" i="12"/>
  <c r="BD39" i="11"/>
  <c r="I26" i="2" a="1"/>
  <c r="I26" i="2" s="1"/>
  <c r="D26" i="2" a="1"/>
  <c r="D26" i="2" s="1"/>
  <c r="J26" i="2" a="1"/>
  <c r="J26" i="2" s="1"/>
  <c r="BC41" i="13"/>
  <c r="BD39" i="9"/>
  <c r="BA42" i="12"/>
  <c r="AM40" i="13"/>
  <c r="BD39" i="10"/>
  <c r="BD40" i="13"/>
  <c r="AM39" i="10"/>
  <c r="BC40" i="10"/>
  <c r="BC40" i="9"/>
  <c r="M27" i="2" s="1" a="1"/>
  <c r="M27" i="2" s="1"/>
  <c r="AS41" i="9"/>
  <c r="BC40" i="11"/>
  <c r="G27" i="2" s="1" a="1"/>
  <c r="G27" i="2" s="1"/>
  <c r="BA42" i="9"/>
  <c r="AB41" i="9"/>
  <c r="AC41" i="9" s="1"/>
  <c r="AE41" i="9"/>
  <c r="AI41" i="9" s="1"/>
  <c r="BK42" i="9"/>
  <c r="AT42" i="9"/>
  <c r="AP42" i="9"/>
  <c r="AO42" i="9"/>
  <c r="AR42" i="9"/>
  <c r="AA42" i="9"/>
  <c r="AG43" i="9" s="1"/>
  <c r="AD42" i="9"/>
  <c r="AQ42" i="9"/>
  <c r="AZ43" i="9" s="1"/>
  <c r="Z42" i="9"/>
  <c r="AY42" i="9"/>
  <c r="BL42" i="9" s="1"/>
  <c r="Y42" i="9"/>
  <c r="AV42" i="9"/>
  <c r="BJ42" i="9" s="1"/>
  <c r="AU42" i="9"/>
  <c r="AK43" i="9" s="1"/>
  <c r="BB41" i="9"/>
  <c r="AJ40" i="9"/>
  <c r="L27" i="2" s="1" a="1"/>
  <c r="L27" i="2" s="1"/>
  <c r="BB42" i="13"/>
  <c r="AJ41" i="13"/>
  <c r="AB42" i="13"/>
  <c r="AC42" i="13" s="1"/>
  <c r="AE42" i="13"/>
  <c r="AI42" i="13" s="1"/>
  <c r="Z43" i="13"/>
  <c r="AY43" i="13"/>
  <c r="BL43" i="13" s="1"/>
  <c r="Y43" i="13"/>
  <c r="BK43" i="13"/>
  <c r="AT43" i="13"/>
  <c r="AR43" i="13"/>
  <c r="AQ43" i="13"/>
  <c r="AZ44" i="13" s="1"/>
  <c r="AO43" i="13"/>
  <c r="AP43" i="13"/>
  <c r="AD43" i="13"/>
  <c r="AA43" i="13"/>
  <c r="AU43" i="13"/>
  <c r="AK44" i="13" s="1"/>
  <c r="AV43" i="13"/>
  <c r="BJ43" i="13" s="1"/>
  <c r="AS42" i="13"/>
  <c r="BA43" i="13"/>
  <c r="AS41" i="11"/>
  <c r="AJ40" i="11"/>
  <c r="F27" i="2" s="1" a="1"/>
  <c r="F27" i="2" s="1"/>
  <c r="AO42" i="11"/>
  <c r="AT42" i="11"/>
  <c r="AR42" i="11"/>
  <c r="AD42" i="11"/>
  <c r="Z42" i="11"/>
  <c r="AY42" i="11"/>
  <c r="BL42" i="11" s="1"/>
  <c r="AA42" i="11"/>
  <c r="AG43" i="11" s="1"/>
  <c r="Y42" i="11"/>
  <c r="BK42" i="11"/>
  <c r="AP42" i="11"/>
  <c r="AQ42" i="11"/>
  <c r="AZ43" i="11" s="1"/>
  <c r="AU42" i="11"/>
  <c r="AK43" i="11" s="1"/>
  <c r="AV42" i="11"/>
  <c r="BA42" i="11"/>
  <c r="AE41" i="11"/>
  <c r="AI41" i="11" s="1"/>
  <c r="AB41" i="11"/>
  <c r="AC41" i="11" s="1"/>
  <c r="BB41" i="11"/>
  <c r="BC40" i="12"/>
  <c r="BD40" i="12" s="1"/>
  <c r="BN40" i="12"/>
  <c r="BV40" i="12" s="1"/>
  <c r="BY40" i="12" s="1"/>
  <c r="AS41" i="10"/>
  <c r="BA42" i="10"/>
  <c r="BB41" i="10"/>
  <c r="AJ40" i="10"/>
  <c r="AT42" i="10"/>
  <c r="AO42" i="10"/>
  <c r="AR42" i="10"/>
  <c r="AQ42" i="10"/>
  <c r="AP42" i="10"/>
  <c r="AD42" i="10"/>
  <c r="AA42" i="10"/>
  <c r="AH43" i="10" s="1"/>
  <c r="Z42" i="10"/>
  <c r="AY42" i="10"/>
  <c r="BL42" i="10" s="1"/>
  <c r="Y42" i="10"/>
  <c r="AV42" i="10"/>
  <c r="BJ42" i="10" s="1"/>
  <c r="AU42" i="10"/>
  <c r="AK43" i="10" s="1"/>
  <c r="AE41" i="10"/>
  <c r="AI41" i="10" s="1"/>
  <c r="AB41" i="10"/>
  <c r="AC41" i="10" s="1"/>
  <c r="BN41" i="13"/>
  <c r="BV41" i="13" s="1"/>
  <c r="BY41" i="13" s="1"/>
  <c r="BU42" i="13"/>
  <c r="BH42" i="13"/>
  <c r="BR43" i="13"/>
  <c r="BP43" i="13"/>
  <c r="AW44" i="13"/>
  <c r="BO43" i="13"/>
  <c r="BT43" i="13"/>
  <c r="V43" i="13"/>
  <c r="BM43" i="13"/>
  <c r="BI42" i="13"/>
  <c r="BU41" i="12"/>
  <c r="AJ40" i="12"/>
  <c r="AM40" i="12" s="1"/>
  <c r="BM42" i="12"/>
  <c r="BK42" i="12"/>
  <c r="V42" i="12"/>
  <c r="AT42" i="12"/>
  <c r="AQ42" i="12"/>
  <c r="AO42" i="12"/>
  <c r="Z42" i="12"/>
  <c r="BP42" i="12"/>
  <c r="Y42" i="12"/>
  <c r="AW43" i="12"/>
  <c r="BO42" i="12"/>
  <c r="AR42" i="12"/>
  <c r="AP42" i="12"/>
  <c r="AD42" i="12"/>
  <c r="AY42" i="12"/>
  <c r="BL42" i="12" s="1"/>
  <c r="BT42" i="12"/>
  <c r="BR42" i="12"/>
  <c r="AA42" i="12"/>
  <c r="AG43" i="12" s="1"/>
  <c r="AU42" i="12"/>
  <c r="AV42" i="12"/>
  <c r="BJ42" i="12" s="1"/>
  <c r="BB41" i="12"/>
  <c r="BH41" i="12"/>
  <c r="BI41" i="12"/>
  <c r="AK42" i="12"/>
  <c r="AS41" i="12"/>
  <c r="AE41" i="12"/>
  <c r="AI41" i="12" s="1"/>
  <c r="AB41" i="12"/>
  <c r="AC41" i="12" s="1"/>
  <c r="BI41" i="11"/>
  <c r="BH41" i="11"/>
  <c r="BU41" i="11"/>
  <c r="BN40" i="11"/>
  <c r="BV40" i="11" s="1"/>
  <c r="BY40" i="11" s="1"/>
  <c r="BR42" i="11"/>
  <c r="BP42" i="11"/>
  <c r="AW43" i="11"/>
  <c r="BO42" i="11"/>
  <c r="BT42" i="11"/>
  <c r="V42" i="11"/>
  <c r="BM42" i="11"/>
  <c r="BU41" i="10"/>
  <c r="BN40" i="10"/>
  <c r="BV40" i="10" s="1"/>
  <c r="BY40" i="10" s="1"/>
  <c r="BI41" i="10"/>
  <c r="BM42" i="10"/>
  <c r="V42" i="10"/>
  <c r="BP42" i="10"/>
  <c r="BO42" i="10"/>
  <c r="BT42" i="10"/>
  <c r="BR42" i="10"/>
  <c r="BH41" i="10"/>
  <c r="BU41" i="9"/>
  <c r="BM42" i="9"/>
  <c r="V42" i="9"/>
  <c r="AW43" i="9"/>
  <c r="BP42" i="9"/>
  <c r="BO42" i="9"/>
  <c r="BR42" i="9"/>
  <c r="BH41" i="9"/>
  <c r="BI41" i="9"/>
  <c r="BN40" i="9"/>
  <c r="BV40" i="9" s="1"/>
  <c r="BY40" i="9" s="1"/>
  <c r="AG44" i="13" l="1"/>
  <c r="AZ43" i="10"/>
  <c r="AW43" i="10"/>
  <c r="AX43" i="10"/>
  <c r="AG43" i="10"/>
  <c r="BD41" i="13"/>
  <c r="D27" i="2" a="1"/>
  <c r="D27" i="2" s="1"/>
  <c r="J27" i="2" a="1"/>
  <c r="J27" i="2" s="1"/>
  <c r="AF43" i="12"/>
  <c r="AF43" i="10"/>
  <c r="BK43" i="10"/>
  <c r="BT43" i="9" a="1"/>
  <c r="BT43" i="9" s="1"/>
  <c r="AM40" i="11"/>
  <c r="H27" i="2" a="1"/>
  <c r="H27" i="2" s="1"/>
  <c r="BD40" i="11"/>
  <c r="I27" i="2" a="1"/>
  <c r="I27" i="2" s="1"/>
  <c r="E27" i="2" a="1"/>
  <c r="E27" i="2" s="1"/>
  <c r="K27" i="2" a="1"/>
  <c r="K27" i="2" s="1"/>
  <c r="AF43" i="11"/>
  <c r="AF44" i="13"/>
  <c r="BA43" i="10"/>
  <c r="AM40" i="9"/>
  <c r="BD40" i="9"/>
  <c r="AM41" i="13"/>
  <c r="BD40" i="10"/>
  <c r="AM40" i="10"/>
  <c r="BC41" i="11"/>
  <c r="G28" i="2" s="1" a="1"/>
  <c r="G28" i="2" s="1"/>
  <c r="BC42" i="13"/>
  <c r="BC41" i="9"/>
  <c r="M28" i="2" s="1" a="1"/>
  <c r="M28" i="2" s="1"/>
  <c r="BA43" i="12"/>
  <c r="BC41" i="10"/>
  <c r="AJ41" i="9"/>
  <c r="L28" i="2" s="1" a="1"/>
  <c r="L28" i="2" s="1"/>
  <c r="BB43" i="13"/>
  <c r="AS42" i="9"/>
  <c r="BA43" i="9"/>
  <c r="AT43" i="9"/>
  <c r="AR43" i="9"/>
  <c r="AQ43" i="9"/>
  <c r="AZ44" i="9" s="1"/>
  <c r="AO43" i="9"/>
  <c r="AP43" i="9"/>
  <c r="AD43" i="9"/>
  <c r="Z43" i="9"/>
  <c r="AA43" i="9"/>
  <c r="AG44" i="9" s="1"/>
  <c r="AY43" i="9"/>
  <c r="BL43" i="9" s="1"/>
  <c r="Y43" i="9"/>
  <c r="BK43" i="9"/>
  <c r="AV43" i="9"/>
  <c r="BJ43" i="9" s="1"/>
  <c r="AU43" i="9"/>
  <c r="AK44" i="9" s="1"/>
  <c r="BB42" i="9"/>
  <c r="AE42" i="9"/>
  <c r="AI42" i="9" s="1"/>
  <c r="AB42" i="9"/>
  <c r="AC42" i="9" s="1"/>
  <c r="AJ42" i="13"/>
  <c r="AS43" i="13"/>
  <c r="AE43" i="13"/>
  <c r="AI43" i="13" s="1"/>
  <c r="AB43" i="13"/>
  <c r="AC43" i="13" s="1"/>
  <c r="AY44" i="13"/>
  <c r="BL44" i="13" s="1"/>
  <c r="Y44" i="13"/>
  <c r="BK44" i="13"/>
  <c r="AR44" i="13"/>
  <c r="AQ44" i="13"/>
  <c r="AZ45" i="13" s="1"/>
  <c r="AP44" i="13"/>
  <c r="AD44" i="13"/>
  <c r="AO44" i="13"/>
  <c r="Z44" i="13"/>
  <c r="AT44" i="13"/>
  <c r="AA44" i="13"/>
  <c r="AU44" i="13"/>
  <c r="AK45" i="13" s="1"/>
  <c r="AV44" i="13"/>
  <c r="BA44" i="13"/>
  <c r="BB42" i="11"/>
  <c r="BA43" i="11"/>
  <c r="BJ42" i="11"/>
  <c r="AJ41" i="11"/>
  <c r="F28" i="2" s="1" a="1"/>
  <c r="F28" i="2" s="1"/>
  <c r="AE42" i="11"/>
  <c r="AI42" i="11" s="1"/>
  <c r="AB42" i="11"/>
  <c r="AC42" i="11" s="1"/>
  <c r="Y43" i="11"/>
  <c r="AQ43" i="11"/>
  <c r="AZ44" i="11" s="1"/>
  <c r="AD43" i="11"/>
  <c r="AY43" i="11"/>
  <c r="BL43" i="11" s="1"/>
  <c r="BK43" i="11"/>
  <c r="Z43" i="11"/>
  <c r="AT43" i="11"/>
  <c r="AA43" i="11"/>
  <c r="AG44" i="11" s="1"/>
  <c r="AR43" i="11"/>
  <c r="AP43" i="11"/>
  <c r="AO43" i="11"/>
  <c r="AU43" i="11"/>
  <c r="AK44" i="11" s="1"/>
  <c r="AV43" i="11"/>
  <c r="BJ43" i="11" s="1"/>
  <c r="AS42" i="11"/>
  <c r="BN41" i="11"/>
  <c r="BV41" i="11" s="1"/>
  <c r="BY41" i="11" s="1"/>
  <c r="AJ41" i="10"/>
  <c r="AR43" i="10"/>
  <c r="AQ43" i="10"/>
  <c r="AP43" i="10"/>
  <c r="AO43" i="10"/>
  <c r="AA43" i="10"/>
  <c r="AH44" i="10" s="1"/>
  <c r="Z43" i="10"/>
  <c r="AD43" i="10"/>
  <c r="AY43" i="10"/>
  <c r="BL43" i="10" s="1"/>
  <c r="Y43" i="10"/>
  <c r="AT43" i="10"/>
  <c r="AV43" i="10"/>
  <c r="BJ43" i="10" s="1"/>
  <c r="AU43" i="10"/>
  <c r="AK44" i="10" s="1"/>
  <c r="AS42" i="10"/>
  <c r="BB42" i="10"/>
  <c r="AB42" i="10"/>
  <c r="AC42" i="10" s="1"/>
  <c r="AE42" i="10"/>
  <c r="AI42" i="10" s="1"/>
  <c r="BC41" i="12"/>
  <c r="BD41" i="12" s="1"/>
  <c r="AS42" i="12"/>
  <c r="BH43" i="13"/>
  <c r="BI43" i="13"/>
  <c r="BU43" i="13"/>
  <c r="AW45" i="13"/>
  <c r="BO44" i="13"/>
  <c r="BR44" i="13"/>
  <c r="BP44" i="13"/>
  <c r="V44" i="13"/>
  <c r="BM44" i="13"/>
  <c r="BT44" i="13"/>
  <c r="BN42" i="13"/>
  <c r="BV42" i="13" s="1"/>
  <c r="BY42" i="13" s="1"/>
  <c r="BN41" i="12"/>
  <c r="BV41" i="12" s="1"/>
  <c r="BY41" i="12" s="1"/>
  <c r="AJ41" i="12"/>
  <c r="AM41" i="12" s="1"/>
  <c r="BI42" i="12"/>
  <c r="AK43" i="12"/>
  <c r="AD43" i="12"/>
  <c r="BR43" i="12"/>
  <c r="AP43" i="12"/>
  <c r="AA43" i="12"/>
  <c r="AG44" i="12" s="1"/>
  <c r="BP43" i="12"/>
  <c r="Y43" i="12"/>
  <c r="AW44" i="12"/>
  <c r="BO43" i="12"/>
  <c r="AY43" i="12"/>
  <c r="BL43" i="12" s="1"/>
  <c r="Z43" i="12"/>
  <c r="V43" i="12"/>
  <c r="BK43" i="12"/>
  <c r="AQ43" i="12"/>
  <c r="BT43" i="12"/>
  <c r="AO43" i="12"/>
  <c r="BM43" i="12"/>
  <c r="AT43" i="12"/>
  <c r="AR43" i="12"/>
  <c r="AU43" i="12"/>
  <c r="AV43" i="12"/>
  <c r="BJ43" i="12" s="1"/>
  <c r="BB42" i="12"/>
  <c r="BH42" i="12"/>
  <c r="AE42" i="12"/>
  <c r="AI42" i="12" s="1"/>
  <c r="AB42" i="12"/>
  <c r="AC42" i="12" s="1"/>
  <c r="BU42" i="12"/>
  <c r="BU42" i="11"/>
  <c r="BI42" i="11"/>
  <c r="BR43" i="11"/>
  <c r="BP43" i="11"/>
  <c r="AW44" i="11"/>
  <c r="BO43" i="11"/>
  <c r="V43" i="11"/>
  <c r="BT43" i="11"/>
  <c r="BM43" i="11"/>
  <c r="BH42" i="11"/>
  <c r="BN41" i="10"/>
  <c r="BV41" i="10" s="1"/>
  <c r="BY41" i="10" s="1"/>
  <c r="BI42" i="10"/>
  <c r="BR43" i="10"/>
  <c r="BP43" i="10"/>
  <c r="BO43" i="10"/>
  <c r="BT43" i="10"/>
  <c r="BM43" i="10"/>
  <c r="V43" i="10"/>
  <c r="BH42" i="10"/>
  <c r="BU42" i="10"/>
  <c r="BN41" i="9"/>
  <c r="BV41" i="9" s="1"/>
  <c r="BY41" i="9" s="1"/>
  <c r="BH42" i="9"/>
  <c r="BU42" i="9"/>
  <c r="BR43" i="9"/>
  <c r="BP43" i="9"/>
  <c r="BO43" i="9"/>
  <c r="BM43" i="9"/>
  <c r="V43" i="9"/>
  <c r="AW44" i="9"/>
  <c r="BI42" i="9"/>
  <c r="AG45" i="13" l="1"/>
  <c r="AW44" i="10"/>
  <c r="AX44" i="10"/>
  <c r="AG44" i="10"/>
  <c r="AZ44" i="10"/>
  <c r="E28" i="2" a="1"/>
  <c r="E28" i="2" s="1"/>
  <c r="K28" i="2" a="1"/>
  <c r="K28" i="2" s="1"/>
  <c r="D28" i="2" a="1"/>
  <c r="D28" i="2" s="1"/>
  <c r="J28" i="2" a="1"/>
  <c r="J28" i="2" s="1"/>
  <c r="BD41" i="11"/>
  <c r="I28" i="2" a="1"/>
  <c r="I28" i="2" s="1"/>
  <c r="AF45" i="13"/>
  <c r="AF44" i="12"/>
  <c r="AM41" i="11"/>
  <c r="H28" i="2" a="1"/>
  <c r="H28" i="2" s="1"/>
  <c r="BT44" i="9" a="1"/>
  <c r="BT44" i="9" s="1"/>
  <c r="AF44" i="10"/>
  <c r="BK44" i="10"/>
  <c r="AF44" i="11"/>
  <c r="AM41" i="9"/>
  <c r="BC42" i="12"/>
  <c r="BD42" i="12" s="1"/>
  <c r="BA44" i="9"/>
  <c r="BA44" i="10"/>
  <c r="BD41" i="9"/>
  <c r="AM42" i="13"/>
  <c r="BD41" i="10"/>
  <c r="BD42" i="13"/>
  <c r="AM41" i="10"/>
  <c r="AJ42" i="11"/>
  <c r="F29" i="2" s="1" a="1"/>
  <c r="F29" i="2" s="1"/>
  <c r="AJ42" i="9"/>
  <c r="L29" i="2" s="1" a="1"/>
  <c r="L29" i="2" s="1"/>
  <c r="BC43" i="13"/>
  <c r="BC42" i="9"/>
  <c r="M29" i="2" s="1" a="1"/>
  <c r="M29" i="2" s="1"/>
  <c r="AS43" i="10"/>
  <c r="BA44" i="12"/>
  <c r="BC42" i="11"/>
  <c r="G29" i="2" s="1" a="1"/>
  <c r="G29" i="2" s="1"/>
  <c r="AS43" i="9"/>
  <c r="AR44" i="9"/>
  <c r="AQ44" i="9"/>
  <c r="AZ45" i="9" s="1"/>
  <c r="AD44" i="9"/>
  <c r="AY44" i="9"/>
  <c r="BL44" i="9" s="1"/>
  <c r="Y44" i="9"/>
  <c r="AP44" i="9"/>
  <c r="AA44" i="9"/>
  <c r="AG45" i="9" s="1"/>
  <c r="Z44" i="9"/>
  <c r="AO44" i="9"/>
  <c r="BK44" i="9"/>
  <c r="AT44" i="9"/>
  <c r="AU44" i="9"/>
  <c r="AK45" i="9" s="1"/>
  <c r="AV44" i="9"/>
  <c r="BJ44" i="9" s="1"/>
  <c r="BB43" i="9"/>
  <c r="AE43" i="9"/>
  <c r="AI43" i="9" s="1"/>
  <c r="AB43" i="9"/>
  <c r="AC43" i="9" s="1"/>
  <c r="AS44" i="13"/>
  <c r="BB44" i="13"/>
  <c r="AJ43" i="13"/>
  <c r="AE44" i="13"/>
  <c r="AI44" i="13" s="1"/>
  <c r="AB44" i="13"/>
  <c r="AC44" i="13" s="1"/>
  <c r="BK45" i="13"/>
  <c r="AT45" i="13"/>
  <c r="AQ45" i="13"/>
  <c r="AZ46" i="13" s="1"/>
  <c r="AP45" i="13"/>
  <c r="AO45" i="13"/>
  <c r="AD45" i="13"/>
  <c r="AA45" i="13"/>
  <c r="AY45" i="13"/>
  <c r="BL45" i="13" s="1"/>
  <c r="Z45" i="13"/>
  <c r="Y45" i="13"/>
  <c r="AR45" i="13"/>
  <c r="AU45" i="13"/>
  <c r="AK46" i="13" s="1"/>
  <c r="AV45" i="13"/>
  <c r="BJ45" i="13" s="1"/>
  <c r="BJ44" i="13"/>
  <c r="BA45" i="13"/>
  <c r="AS43" i="11"/>
  <c r="BA44" i="11"/>
  <c r="BB43" i="11"/>
  <c r="AE43" i="11"/>
  <c r="AI43" i="11" s="1"/>
  <c r="AB43" i="11"/>
  <c r="AC43" i="11" s="1"/>
  <c r="AD44" i="11"/>
  <c r="AY44" i="11"/>
  <c r="BL44" i="11" s="1"/>
  <c r="AR44" i="11"/>
  <c r="AA44" i="11"/>
  <c r="AG45" i="11" s="1"/>
  <c r="AQ44" i="11"/>
  <c r="AZ45" i="11" s="1"/>
  <c r="AP44" i="11"/>
  <c r="Z44" i="11"/>
  <c r="Y44" i="11"/>
  <c r="BK44" i="11"/>
  <c r="AT44" i="11"/>
  <c r="AO44" i="11"/>
  <c r="AV44" i="11"/>
  <c r="BJ44" i="11" s="1"/>
  <c r="AU44" i="11"/>
  <c r="BN42" i="12"/>
  <c r="BV42" i="12" s="1"/>
  <c r="BY42" i="12" s="1"/>
  <c r="AJ42" i="10"/>
  <c r="BN42" i="10"/>
  <c r="BV42" i="10" s="1"/>
  <c r="BY42" i="10" s="1"/>
  <c r="BB43" i="10"/>
  <c r="AE43" i="10"/>
  <c r="AI43" i="10" s="1"/>
  <c r="AB43" i="10"/>
  <c r="AC43" i="10" s="1"/>
  <c r="AQ44" i="10"/>
  <c r="AD44" i="10"/>
  <c r="AP44" i="10"/>
  <c r="AO44" i="10"/>
  <c r="AA44" i="10"/>
  <c r="Z44" i="10"/>
  <c r="AY44" i="10"/>
  <c r="BL44" i="10" s="1"/>
  <c r="Y44" i="10"/>
  <c r="AR44" i="10"/>
  <c r="AT44" i="10"/>
  <c r="AV44" i="10"/>
  <c r="BJ44" i="10" s="1"/>
  <c r="AU44" i="10"/>
  <c r="AK45" i="10" s="1"/>
  <c r="BC42" i="10"/>
  <c r="BN42" i="11"/>
  <c r="BV42" i="11" s="1"/>
  <c r="BY42" i="11" s="1"/>
  <c r="BI44" i="13"/>
  <c r="BU44" i="13"/>
  <c r="BT45" i="13"/>
  <c r="BP45" i="13"/>
  <c r="BM45" i="13"/>
  <c r="V45" i="13"/>
  <c r="BR45" i="13"/>
  <c r="BO45" i="13"/>
  <c r="AW46" i="13"/>
  <c r="AW58" i="13" s="1"/>
  <c r="BN43" i="13"/>
  <c r="BV43" i="13" s="1"/>
  <c r="BY43" i="13" s="1"/>
  <c r="BH44" i="13"/>
  <c r="AS43" i="12"/>
  <c r="AJ42" i="12"/>
  <c r="AM42" i="12" s="1"/>
  <c r="AT44" i="12"/>
  <c r="BT44" i="12"/>
  <c r="AR44" i="12"/>
  <c r="AO44" i="12"/>
  <c r="Z44" i="12"/>
  <c r="AW45" i="12"/>
  <c r="BO44" i="12"/>
  <c r="AY44" i="12"/>
  <c r="BL44" i="12" s="1"/>
  <c r="BM44" i="12"/>
  <c r="BK44" i="12"/>
  <c r="V44" i="12"/>
  <c r="BR44" i="12"/>
  <c r="BP44" i="12"/>
  <c r="AD44" i="12"/>
  <c r="AA44" i="12"/>
  <c r="AG45" i="12" s="1"/>
  <c r="AV44" i="12"/>
  <c r="BJ44" i="12" s="1"/>
  <c r="AQ44" i="12"/>
  <c r="AP44" i="12"/>
  <c r="Y44" i="12"/>
  <c r="AU44" i="12"/>
  <c r="BI43" i="12"/>
  <c r="AK44" i="12"/>
  <c r="AE43" i="12"/>
  <c r="AI43" i="12" s="1"/>
  <c r="AB43" i="12"/>
  <c r="AC43" i="12" s="1"/>
  <c r="BH43" i="12"/>
  <c r="BB43" i="12"/>
  <c r="BU43" i="12"/>
  <c r="BH43" i="11"/>
  <c r="BI43" i="11"/>
  <c r="BU43" i="11"/>
  <c r="BP44" i="11"/>
  <c r="AW45" i="11"/>
  <c r="BO44" i="11"/>
  <c r="BM44" i="11"/>
  <c r="V44" i="11"/>
  <c r="BR44" i="11"/>
  <c r="BT44" i="11"/>
  <c r="BU43" i="10"/>
  <c r="BO44" i="10"/>
  <c r="BM44" i="10"/>
  <c r="V44" i="10"/>
  <c r="BR44" i="10"/>
  <c r="BT44" i="10"/>
  <c r="BP44" i="10"/>
  <c r="BH43" i="10"/>
  <c r="BI43" i="10"/>
  <c r="BH43" i="9"/>
  <c r="BU43" i="9"/>
  <c r="BI43" i="9"/>
  <c r="BR44" i="9"/>
  <c r="BP44" i="9"/>
  <c r="BM44" i="9"/>
  <c r="V44" i="9"/>
  <c r="BO44" i="9"/>
  <c r="AW45" i="9"/>
  <c r="BN42" i="9"/>
  <c r="BV42" i="9" s="1"/>
  <c r="BY42" i="9" s="1"/>
  <c r="AH45" i="10" l="1"/>
  <c r="AG46" i="13"/>
  <c r="AZ45" i="10"/>
  <c r="AG45" i="10"/>
  <c r="AW45" i="10"/>
  <c r="AX45" i="10"/>
  <c r="BC43" i="10"/>
  <c r="BD43" i="10" s="1"/>
  <c r="AF45" i="12"/>
  <c r="AF46" i="13"/>
  <c r="AF58" i="13" s="1"/>
  <c r="E29" i="2" a="1"/>
  <c r="E29" i="2" s="1"/>
  <c r="K29" i="2" a="1"/>
  <c r="K29" i="2" s="1"/>
  <c r="BD42" i="11"/>
  <c r="I29" i="2" a="1"/>
  <c r="I29" i="2" s="1"/>
  <c r="AF45" i="10"/>
  <c r="AF45" i="11"/>
  <c r="BT45" i="9" a="1"/>
  <c r="BT45" i="9" s="1"/>
  <c r="AM42" i="11"/>
  <c r="H29" i="2" a="1"/>
  <c r="H29" i="2" s="1"/>
  <c r="D29" i="2" a="1"/>
  <c r="D29" i="2" s="1"/>
  <c r="J29" i="2" a="1"/>
  <c r="J29" i="2" s="1"/>
  <c r="BD42" i="9"/>
  <c r="AM42" i="9"/>
  <c r="AS45" i="13"/>
  <c r="BC43" i="11"/>
  <c r="G30" i="2" s="1" a="1"/>
  <c r="G30" i="2" s="1"/>
  <c r="AM43" i="13"/>
  <c r="BD42" i="10"/>
  <c r="BD43" i="13"/>
  <c r="AM42" i="10"/>
  <c r="BC43" i="9"/>
  <c r="M30" i="2" s="1" a="1"/>
  <c r="M30" i="2" s="1"/>
  <c r="BA45" i="12"/>
  <c r="BC44" i="13"/>
  <c r="AS44" i="9"/>
  <c r="AS44" i="11"/>
  <c r="AS44" i="10"/>
  <c r="AJ43" i="9"/>
  <c r="L30" i="2" s="1" a="1"/>
  <c r="L30" i="2" s="1"/>
  <c r="AQ45" i="9"/>
  <c r="AZ46" i="9" s="1"/>
  <c r="AP45" i="9"/>
  <c r="AD45" i="9"/>
  <c r="AA45" i="9"/>
  <c r="AG46" i="9" s="1"/>
  <c r="BK45" i="9"/>
  <c r="Z45" i="9"/>
  <c r="AY45" i="9"/>
  <c r="BL45" i="9" s="1"/>
  <c r="Y45" i="9"/>
  <c r="AO45" i="9"/>
  <c r="AT45" i="9"/>
  <c r="AR45" i="9"/>
  <c r="AU45" i="9"/>
  <c r="AK46" i="9" s="1"/>
  <c r="AV45" i="9"/>
  <c r="BJ45" i="9" s="1"/>
  <c r="BA45" i="9"/>
  <c r="AE44" i="9"/>
  <c r="AI44" i="9" s="1"/>
  <c r="AB44" i="9"/>
  <c r="AC44" i="9" s="1"/>
  <c r="BB44" i="9"/>
  <c r="BN44" i="13"/>
  <c r="BV44" i="13" s="1"/>
  <c r="BY44" i="13" s="1"/>
  <c r="AR46" i="13"/>
  <c r="AR58" i="13" s="1"/>
  <c r="AQ46" i="13"/>
  <c r="AP46" i="13"/>
  <c r="AP58" i="13" s="1"/>
  <c r="AO46" i="13"/>
  <c r="AO58" i="13" s="1"/>
  <c r="AD46" i="13"/>
  <c r="AD58" i="13" s="1"/>
  <c r="AA46" i="13"/>
  <c r="AY46" i="13"/>
  <c r="AY58" i="13" s="1"/>
  <c r="Z46" i="13"/>
  <c r="Z58" i="13" s="1"/>
  <c r="Y46" i="13"/>
  <c r="Y58" i="13" s="1"/>
  <c r="AT46" i="13"/>
  <c r="AT58" i="13" s="1"/>
  <c r="AV46" i="13"/>
  <c r="AV58" i="13" s="1"/>
  <c r="AU46" i="13"/>
  <c r="AJ44" i="13"/>
  <c r="BB45" i="13"/>
  <c r="AE45" i="13"/>
  <c r="AI45" i="13" s="1"/>
  <c r="AB45" i="13"/>
  <c r="AC45" i="13" s="1"/>
  <c r="BA46" i="13"/>
  <c r="AJ43" i="11"/>
  <c r="F30" i="2" s="1" a="1"/>
  <c r="F30" i="2" s="1"/>
  <c r="BB44" i="11"/>
  <c r="AK45" i="11"/>
  <c r="AB44" i="11"/>
  <c r="AC44" i="11" s="1"/>
  <c r="AE44" i="11"/>
  <c r="AI44" i="11" s="1"/>
  <c r="AQ45" i="11"/>
  <c r="AZ46" i="11" s="1"/>
  <c r="AA45" i="11"/>
  <c r="AG46" i="11" s="1"/>
  <c r="AT45" i="11"/>
  <c r="AP45" i="11"/>
  <c r="AO45" i="11"/>
  <c r="AY45" i="11"/>
  <c r="BL45" i="11" s="1"/>
  <c r="Z45" i="11"/>
  <c r="AR45" i="11"/>
  <c r="Y45" i="11"/>
  <c r="AD45" i="11"/>
  <c r="AU45" i="11"/>
  <c r="AK46" i="11" s="1"/>
  <c r="AV45" i="11"/>
  <c r="BJ45" i="11" s="1"/>
  <c r="BA45" i="11"/>
  <c r="BC43" i="12"/>
  <c r="BD43" i="12" s="1"/>
  <c r="AJ43" i="10"/>
  <c r="BA45" i="10"/>
  <c r="BB44" i="10"/>
  <c r="AP45" i="10"/>
  <c r="AO45" i="10"/>
  <c r="AD45" i="10"/>
  <c r="Z45" i="10"/>
  <c r="AY45" i="10"/>
  <c r="BL45" i="10" s="1"/>
  <c r="Y45" i="10"/>
  <c r="BK45" i="10"/>
  <c r="AQ45" i="10"/>
  <c r="AT45" i="10"/>
  <c r="AA45" i="10"/>
  <c r="AR45" i="10"/>
  <c r="AV45" i="10"/>
  <c r="BJ45" i="10" s="1"/>
  <c r="AU45" i="10"/>
  <c r="AK46" i="10" s="1"/>
  <c r="AB44" i="10"/>
  <c r="AC44" i="10" s="1"/>
  <c r="AE44" i="10"/>
  <c r="AI44" i="10" s="1"/>
  <c r="BU45" i="13"/>
  <c r="BN43" i="12"/>
  <c r="BV43" i="12" s="1"/>
  <c r="BY43" i="12" s="1"/>
  <c r="BH45" i="13"/>
  <c r="BI45" i="13"/>
  <c r="O110" i="13"/>
  <c r="BT46" i="13"/>
  <c r="BT58" i="13" s="1"/>
  <c r="BS58" i="13"/>
  <c r="BO46" i="13"/>
  <c r="BO58" i="13" s="1"/>
  <c r="BM46" i="13"/>
  <c r="BM58" i="13" s="1"/>
  <c r="V46" i="13"/>
  <c r="V47" i="13" s="1"/>
  <c r="V48" i="13" s="1"/>
  <c r="V49" i="13" s="1"/>
  <c r="V50" i="13" s="1"/>
  <c r="V51" i="13" s="1"/>
  <c r="V52" i="13" s="1"/>
  <c r="V53" i="13" s="1"/>
  <c r="V54" i="13" s="1"/>
  <c r="V55" i="13" s="1"/>
  <c r="V56" i="13" s="1"/>
  <c r="BQ58" i="13"/>
  <c r="BP46" i="13"/>
  <c r="BP58" i="13" s="1"/>
  <c r="BX58" i="13"/>
  <c r="BR46" i="13"/>
  <c r="BR58" i="13" s="1"/>
  <c r="BN43" i="11"/>
  <c r="BV43" i="11" s="1"/>
  <c r="BY43" i="11" s="1"/>
  <c r="AJ43" i="12"/>
  <c r="AM43" i="12" s="1"/>
  <c r="BI44" i="12"/>
  <c r="AK45" i="12"/>
  <c r="AE44" i="12"/>
  <c r="AI44" i="12" s="1"/>
  <c r="AB44" i="12"/>
  <c r="AC44" i="12" s="1"/>
  <c r="BU44" i="12"/>
  <c r="AT45" i="12"/>
  <c r="AD45" i="12"/>
  <c r="AQ45" i="12"/>
  <c r="BP45" i="12"/>
  <c r="Y45" i="12"/>
  <c r="AY45" i="12"/>
  <c r="BL45" i="12" s="1"/>
  <c r="BM45" i="12"/>
  <c r="BK45" i="12"/>
  <c r="V45" i="12"/>
  <c r="AW46" i="12"/>
  <c r="AW58" i="12" s="1"/>
  <c r="AR45" i="12"/>
  <c r="AP45" i="12"/>
  <c r="BT45" i="12"/>
  <c r="AO45" i="12"/>
  <c r="BR45" i="12"/>
  <c r="AA45" i="12"/>
  <c r="AG46" i="12" s="1"/>
  <c r="Z45" i="12"/>
  <c r="AU45" i="12"/>
  <c r="BO45" i="12"/>
  <c r="AV45" i="12"/>
  <c r="BJ45" i="12" s="1"/>
  <c r="AS44" i="12"/>
  <c r="BB44" i="12"/>
  <c r="BH44" i="12"/>
  <c r="BI44" i="11"/>
  <c r="BU44" i="11"/>
  <c r="BH44" i="11"/>
  <c r="BT45" i="11"/>
  <c r="BP45" i="11"/>
  <c r="AW46" i="11"/>
  <c r="AW58" i="11" s="1"/>
  <c r="BO45" i="11"/>
  <c r="BM45" i="11"/>
  <c r="BK45" i="11"/>
  <c r="V45" i="11"/>
  <c r="BR45" i="11"/>
  <c r="BH44" i="10"/>
  <c r="BI44" i="10"/>
  <c r="BU44" i="10"/>
  <c r="BN43" i="10"/>
  <c r="BV43" i="10" s="1"/>
  <c r="BY43" i="10" s="1"/>
  <c r="BT45" i="10"/>
  <c r="BP45" i="10"/>
  <c r="BM45" i="10"/>
  <c r="V45" i="10"/>
  <c r="BR45" i="10"/>
  <c r="BO45" i="10"/>
  <c r="BU44" i="9"/>
  <c r="BI44" i="9"/>
  <c r="BR45" i="9"/>
  <c r="BP45" i="9"/>
  <c r="BM45" i="9"/>
  <c r="AW46" i="9"/>
  <c r="AW58" i="9" s="1"/>
  <c r="V45" i="9"/>
  <c r="BO45" i="9"/>
  <c r="BN43" i="9"/>
  <c r="BV43" i="9" s="1"/>
  <c r="BY43" i="9" s="1"/>
  <c r="BH44" i="9"/>
  <c r="AH46" i="10" l="1"/>
  <c r="AA58" i="13"/>
  <c r="AG47" i="13"/>
  <c r="AG48" i="13" s="1"/>
  <c r="AG49" i="13" s="1"/>
  <c r="AG50" i="13" s="1"/>
  <c r="AG51" i="13" s="1"/>
  <c r="AG52" i="13" s="1"/>
  <c r="AG53" i="13" s="1"/>
  <c r="AG54" i="13" s="1"/>
  <c r="AG55" i="13" s="1"/>
  <c r="AG56" i="13" s="1"/>
  <c r="AG58" i="13" s="1"/>
  <c r="K30" i="2" a="1"/>
  <c r="K30" i="2" s="1"/>
  <c r="AQ58" i="13"/>
  <c r="BA47" i="13"/>
  <c r="AK52" i="13"/>
  <c r="AK47" i="13"/>
  <c r="AK50" i="13"/>
  <c r="AK51" i="13"/>
  <c r="AK54" i="13"/>
  <c r="AK48" i="13"/>
  <c r="AK55" i="13"/>
  <c r="AK53" i="13"/>
  <c r="AU58" i="13"/>
  <c r="AK49" i="13"/>
  <c r="AK56" i="13"/>
  <c r="AZ47" i="13"/>
  <c r="AZ48" i="13" s="1"/>
  <c r="AZ49" i="13" s="1"/>
  <c r="AZ50" i="13" s="1"/>
  <c r="AZ51" i="13" s="1"/>
  <c r="AZ52" i="13" s="1"/>
  <c r="AZ53" i="13" s="1"/>
  <c r="AZ54" i="13" s="1"/>
  <c r="AZ55" i="13" s="1"/>
  <c r="AZ56" i="13" s="1"/>
  <c r="AZ58" i="13" s="1"/>
  <c r="AW46" i="10"/>
  <c r="AX46" i="10"/>
  <c r="AG46" i="10"/>
  <c r="AZ46" i="10"/>
  <c r="BC44" i="11"/>
  <c r="BD44" i="11" s="1"/>
  <c r="E30" i="2" a="1"/>
  <c r="E30" i="2" s="1"/>
  <c r="AF46" i="10"/>
  <c r="AF46" i="11"/>
  <c r="AF58" i="11" s="1"/>
  <c r="BD43" i="11"/>
  <c r="I30" i="2" a="1"/>
  <c r="I30" i="2" s="1"/>
  <c r="I31" i="2" a="1"/>
  <c r="I31" i="2" s="1"/>
  <c r="AM43" i="11"/>
  <c r="H30" i="2" a="1"/>
  <c r="H30" i="2" s="1"/>
  <c r="D30" i="2" a="1"/>
  <c r="D30" i="2" s="1"/>
  <c r="J30" i="2" a="1"/>
  <c r="J30" i="2" s="1"/>
  <c r="AF46" i="12"/>
  <c r="AF58" i="12" s="1"/>
  <c r="BT46" i="9" a="1"/>
  <c r="BT46" i="9" s="1"/>
  <c r="BT58" i="9" s="1"/>
  <c r="BC45" i="13"/>
  <c r="BC44" i="9"/>
  <c r="BD43" i="9"/>
  <c r="AM43" i="9"/>
  <c r="BA46" i="11"/>
  <c r="BA46" i="12"/>
  <c r="BC44" i="10"/>
  <c r="AM44" i="13"/>
  <c r="BD44" i="13"/>
  <c r="AM43" i="10"/>
  <c r="AS46" i="13"/>
  <c r="AS58" i="13" s="1"/>
  <c r="AJ45" i="13"/>
  <c r="AJ44" i="11"/>
  <c r="F31" i="2" s="1" a="1"/>
  <c r="F31" i="2" s="1"/>
  <c r="AS45" i="10"/>
  <c r="BB45" i="9"/>
  <c r="AS45" i="9"/>
  <c r="AJ44" i="9"/>
  <c r="L31" i="2" s="1" a="1"/>
  <c r="L31" i="2" s="1"/>
  <c r="AE45" i="9"/>
  <c r="AI45" i="9" s="1"/>
  <c r="AB45" i="9"/>
  <c r="AC45" i="9" s="1"/>
  <c r="BA46" i="9"/>
  <c r="AP46" i="9"/>
  <c r="AP58" i="9" s="1"/>
  <c r="AO46" i="9"/>
  <c r="AO58" i="9" s="1"/>
  <c r="AA46" i="9"/>
  <c r="Z46" i="9"/>
  <c r="Z58" i="9" s="1"/>
  <c r="AT46" i="9"/>
  <c r="AT58" i="9" s="1"/>
  <c r="AD46" i="9"/>
  <c r="AD58" i="9" s="1"/>
  <c r="AY46" i="9"/>
  <c r="Y46" i="9"/>
  <c r="Y58" i="9" s="1"/>
  <c r="AR46" i="9"/>
  <c r="AR58" i="9" s="1"/>
  <c r="AQ46" i="9"/>
  <c r="AU46" i="9"/>
  <c r="AV46" i="9"/>
  <c r="AV58" i="9" s="1"/>
  <c r="AL16" i="13"/>
  <c r="AE46" i="13"/>
  <c r="AB46" i="13"/>
  <c r="BB46" i="13"/>
  <c r="BB58" i="13" s="1"/>
  <c r="Z46" i="11"/>
  <c r="Z58" i="11" s="1"/>
  <c r="AQ46" i="11"/>
  <c r="AY46" i="11"/>
  <c r="AY58" i="11" s="1"/>
  <c r="Y46" i="11"/>
  <c r="Y58" i="11" s="1"/>
  <c r="AD46" i="11"/>
  <c r="AD58" i="11" s="1"/>
  <c r="AP46" i="11"/>
  <c r="AP58" i="11" s="1"/>
  <c r="AT46" i="11"/>
  <c r="AT58" i="11" s="1"/>
  <c r="AR46" i="11"/>
  <c r="AR58" i="11" s="1"/>
  <c r="AO46" i="11"/>
  <c r="AO58" i="11" s="1"/>
  <c r="AA46" i="11"/>
  <c r="AU46" i="11"/>
  <c r="AV46" i="11"/>
  <c r="AV58" i="11" s="1"/>
  <c r="AS45" i="11"/>
  <c r="AB45" i="11"/>
  <c r="AC45" i="11" s="1"/>
  <c r="AE45" i="11"/>
  <c r="AI45" i="11" s="1"/>
  <c r="BB45" i="11"/>
  <c r="AJ44" i="10"/>
  <c r="BA46" i="10"/>
  <c r="AO46" i="10"/>
  <c r="AA46" i="10"/>
  <c r="AH47" i="10" s="1"/>
  <c r="AD46" i="10"/>
  <c r="AY46" i="10"/>
  <c r="BL46" i="10" s="1"/>
  <c r="Y46" i="10"/>
  <c r="AT46" i="10"/>
  <c r="Z46" i="10"/>
  <c r="AR46" i="10"/>
  <c r="AP46" i="10"/>
  <c r="AQ46" i="10"/>
  <c r="AV46" i="10"/>
  <c r="AU46" i="10"/>
  <c r="AK47" i="10" s="1"/>
  <c r="AE45" i="10"/>
  <c r="AI45" i="10" s="1"/>
  <c r="AB45" i="10"/>
  <c r="AC45" i="10" s="1"/>
  <c r="BB45" i="10"/>
  <c r="BU45" i="11"/>
  <c r="BL46" i="13"/>
  <c r="BL58" i="13" s="1"/>
  <c r="BC44" i="12"/>
  <c r="BD44" i="12" s="1"/>
  <c r="BN44" i="12"/>
  <c r="BV44" i="12" s="1"/>
  <c r="BY44" i="12" s="1"/>
  <c r="BI46" i="13"/>
  <c r="BI58" i="13" s="1"/>
  <c r="BJ46" i="13"/>
  <c r="BJ58" i="13" s="1"/>
  <c r="BK46" i="13"/>
  <c r="BK58" i="13" s="1"/>
  <c r="BH46" i="13"/>
  <c r="BH58" i="13" s="1"/>
  <c r="BU46" i="13"/>
  <c r="BU58" i="13" s="1"/>
  <c r="BN45" i="13"/>
  <c r="BV45" i="13" s="1"/>
  <c r="BY45" i="13" s="1"/>
  <c r="AJ44" i="12"/>
  <c r="AM44" i="12" s="1"/>
  <c r="BH45" i="12"/>
  <c r="BB45" i="12"/>
  <c r="AE45" i="12"/>
  <c r="AI45" i="12" s="1"/>
  <c r="AB45" i="12"/>
  <c r="AC45" i="12" s="1"/>
  <c r="AD46" i="12"/>
  <c r="AD58" i="12" s="1"/>
  <c r="BT46" i="12"/>
  <c r="BT58" i="12" s="1"/>
  <c r="AR46" i="12"/>
  <c r="AR58" i="12" s="1"/>
  <c r="BR46" i="12"/>
  <c r="BR58" i="12" s="1"/>
  <c r="AP46" i="12"/>
  <c r="AP58" i="12" s="1"/>
  <c r="AA46" i="12"/>
  <c r="AG47" i="12" s="1"/>
  <c r="AG48" i="12" s="1"/>
  <c r="AG49" i="12" s="1"/>
  <c r="AG50" i="12" s="1"/>
  <c r="AG51" i="12" s="1"/>
  <c r="AG52" i="12" s="1"/>
  <c r="AG53" i="12" s="1"/>
  <c r="AG54" i="12" s="1"/>
  <c r="AG55" i="12" s="1"/>
  <c r="AG56" i="12" s="1"/>
  <c r="BO46" i="12"/>
  <c r="BO58" i="12" s="1"/>
  <c r="BM46" i="12"/>
  <c r="BM58" i="12" s="1"/>
  <c r="V46" i="12"/>
  <c r="V47" i="12" s="1"/>
  <c r="V48" i="12" s="1"/>
  <c r="V49" i="12" s="1"/>
  <c r="V50" i="12" s="1"/>
  <c r="V51" i="12" s="1"/>
  <c r="V52" i="12" s="1"/>
  <c r="V53" i="12" s="1"/>
  <c r="V54" i="12" s="1"/>
  <c r="V55" i="12" s="1"/>
  <c r="V56" i="12" s="1"/>
  <c r="BX58" i="12"/>
  <c r="AY46" i="12"/>
  <c r="AY58" i="12" s="1"/>
  <c r="AT46" i="12"/>
  <c r="AT58" i="12" s="1"/>
  <c r="BS58" i="12"/>
  <c r="BQ58" i="12"/>
  <c r="Z46" i="12"/>
  <c r="Z58" i="12" s="1"/>
  <c r="Y46" i="12"/>
  <c r="Y58" i="12" s="1"/>
  <c r="AO46" i="12"/>
  <c r="AO58" i="12" s="1"/>
  <c r="AQ46" i="12"/>
  <c r="BP46" i="12"/>
  <c r="BP58" i="12" s="1"/>
  <c r="AU46" i="12"/>
  <c r="AV46" i="12"/>
  <c r="AV58" i="12" s="1"/>
  <c r="BU45" i="12"/>
  <c r="BI45" i="12"/>
  <c r="AK46" i="12"/>
  <c r="O110" i="12" s="1"/>
  <c r="AS45" i="12"/>
  <c r="BT46" i="11"/>
  <c r="BT58" i="11" s="1"/>
  <c r="BS58" i="11"/>
  <c r="BO46" i="11"/>
  <c r="BO58" i="11" s="1"/>
  <c r="BM46" i="11"/>
  <c r="BM58" i="11" s="1"/>
  <c r="V46" i="11"/>
  <c r="V47" i="11" s="1"/>
  <c r="V48" i="11" s="1"/>
  <c r="V49" i="11" s="1"/>
  <c r="V50" i="11" s="1"/>
  <c r="V51" i="11" s="1"/>
  <c r="V52" i="11" s="1"/>
  <c r="V53" i="11" s="1"/>
  <c r="V54" i="11" s="1"/>
  <c r="V55" i="11" s="1"/>
  <c r="V56" i="11" s="1"/>
  <c r="BX58" i="11"/>
  <c r="BP46" i="11"/>
  <c r="BP58" i="11" s="1"/>
  <c r="BQ58" i="11"/>
  <c r="BR46" i="11"/>
  <c r="BR58" i="11" s="1"/>
  <c r="BH45" i="11"/>
  <c r="BI45" i="11"/>
  <c r="O110" i="11"/>
  <c r="BN44" i="11"/>
  <c r="BV44" i="11" s="1"/>
  <c r="BY44" i="11" s="1"/>
  <c r="BT46" i="10"/>
  <c r="BO46" i="10"/>
  <c r="BM46" i="10"/>
  <c r="V46" i="10"/>
  <c r="BP46" i="10"/>
  <c r="BR46" i="10"/>
  <c r="BU45" i="10"/>
  <c r="BN44" i="10"/>
  <c r="BV44" i="10" s="1"/>
  <c r="BY44" i="10" s="1"/>
  <c r="BH45" i="10"/>
  <c r="BI45" i="10"/>
  <c r="O110" i="10"/>
  <c r="BN44" i="9"/>
  <c r="BV44" i="9" s="1"/>
  <c r="BY44" i="9" s="1"/>
  <c r="BU45" i="9"/>
  <c r="BH45" i="9"/>
  <c r="BR46" i="9"/>
  <c r="BR58" i="9" s="1"/>
  <c r="BO46" i="9"/>
  <c r="BO58" i="9" s="1"/>
  <c r="BP46" i="9"/>
  <c r="BP58" i="9" s="1"/>
  <c r="V46" i="9"/>
  <c r="V47" i="9" s="1"/>
  <c r="V48" i="9" s="1"/>
  <c r="V49" i="9" s="1"/>
  <c r="V50" i="9" s="1"/>
  <c r="V51" i="9" s="1"/>
  <c r="V52" i="9" s="1"/>
  <c r="V53" i="9" s="1"/>
  <c r="V54" i="9" s="1"/>
  <c r="V55" i="9" s="1"/>
  <c r="V56" i="9" s="1"/>
  <c r="BS58" i="9"/>
  <c r="BM46" i="9"/>
  <c r="BM58" i="9" s="1"/>
  <c r="BQ58" i="9"/>
  <c r="BX58" i="9"/>
  <c r="BI45" i="9"/>
  <c r="O110" i="9"/>
  <c r="AK48" i="9" l="1"/>
  <c r="AK55" i="9"/>
  <c r="AK53" i="9"/>
  <c r="AU58" i="9"/>
  <c r="AK47" i="9"/>
  <c r="AK51" i="9"/>
  <c r="AK50" i="9"/>
  <c r="AK49" i="9"/>
  <c r="AK56" i="9"/>
  <c r="AK58" i="9" s="1"/>
  <c r="AK52" i="9"/>
  <c r="AK54" i="9"/>
  <c r="BL46" i="9"/>
  <c r="BL58" i="9" s="1"/>
  <c r="AY58" i="9"/>
  <c r="AI46" i="13"/>
  <c r="AI58" i="13" s="1"/>
  <c r="AE58" i="13"/>
  <c r="AC46" i="13"/>
  <c r="AC58" i="13" s="1"/>
  <c r="AB58" i="13"/>
  <c r="AK56" i="11"/>
  <c r="AK51" i="11"/>
  <c r="AK53" i="11"/>
  <c r="AK49" i="11"/>
  <c r="AK50" i="11"/>
  <c r="AK54" i="11"/>
  <c r="AK47" i="11"/>
  <c r="AU58" i="11"/>
  <c r="AK52" i="11"/>
  <c r="AK48" i="11"/>
  <c r="AK55" i="11"/>
  <c r="AQ58" i="11"/>
  <c r="BA47" i="11"/>
  <c r="AA58" i="11"/>
  <c r="AZ47" i="11"/>
  <c r="AZ48" i="11" s="1"/>
  <c r="AZ49" i="11" s="1"/>
  <c r="AZ50" i="11" s="1"/>
  <c r="AZ51" i="11" s="1"/>
  <c r="AZ52" i="11" s="1"/>
  <c r="AZ53" i="11" s="1"/>
  <c r="AZ54" i="11" s="1"/>
  <c r="AZ55" i="11" s="1"/>
  <c r="AZ56" i="11" s="1"/>
  <c r="AZ58" i="11" s="1"/>
  <c r="AG47" i="11"/>
  <c r="AG48" i="11" s="1"/>
  <c r="AG49" i="11" s="1"/>
  <c r="AG50" i="11" s="1"/>
  <c r="AG51" i="11" s="1"/>
  <c r="AG52" i="11" s="1"/>
  <c r="AG53" i="11" s="1"/>
  <c r="AG54" i="11" s="1"/>
  <c r="AG55" i="11" s="1"/>
  <c r="AG56" i="11" s="1"/>
  <c r="AG58" i="11" s="1"/>
  <c r="AH58" i="13"/>
  <c r="AA58" i="9"/>
  <c r="AQ58" i="9"/>
  <c r="BA47" i="9"/>
  <c r="AZ47" i="9"/>
  <c r="AZ48" i="9" s="1"/>
  <c r="AZ49" i="9" s="1"/>
  <c r="AZ50" i="9" s="1"/>
  <c r="AZ51" i="9" s="1"/>
  <c r="AZ52" i="9" s="1"/>
  <c r="AZ53" i="9" s="1"/>
  <c r="AZ54" i="9" s="1"/>
  <c r="AZ55" i="9" s="1"/>
  <c r="AZ56" i="9" s="1"/>
  <c r="AZ58" i="9" s="1"/>
  <c r="AG47" i="9"/>
  <c r="AG48" i="9" s="1"/>
  <c r="AG49" i="9" s="1"/>
  <c r="AG50" i="9" s="1"/>
  <c r="AG51" i="9" s="1"/>
  <c r="AG52" i="9" s="1"/>
  <c r="AG53" i="9" s="1"/>
  <c r="AG54" i="9" s="1"/>
  <c r="AG55" i="9" s="1"/>
  <c r="AG56" i="9" s="1"/>
  <c r="AG58" i="9" s="1"/>
  <c r="G31" i="2" a="1"/>
  <c r="G31" i="2" s="1"/>
  <c r="BA55" i="13"/>
  <c r="AK58" i="13"/>
  <c r="BA48" i="13"/>
  <c r="BA53" i="13"/>
  <c r="AK54" i="12"/>
  <c r="AK50" i="12"/>
  <c r="AK47" i="12"/>
  <c r="AK56" i="12"/>
  <c r="AU58" i="12"/>
  <c r="AK48" i="12"/>
  <c r="AK49" i="12"/>
  <c r="AK51" i="12"/>
  <c r="AK53" i="12"/>
  <c r="AK52" i="12"/>
  <c r="AK55" i="12"/>
  <c r="BA56" i="13"/>
  <c r="AM16" i="13"/>
  <c r="BA51" i="13"/>
  <c r="BA49" i="13"/>
  <c r="BA52" i="13"/>
  <c r="BA50" i="13"/>
  <c r="BA54" i="13"/>
  <c r="BA47" i="12"/>
  <c r="AQ58" i="12"/>
  <c r="AZ58" i="12"/>
  <c r="AA58" i="12"/>
  <c r="V47" i="10"/>
  <c r="Y47" i="10"/>
  <c r="AT47" i="10"/>
  <c r="BH47" i="10" s="1"/>
  <c r="BP47" i="10"/>
  <c r="AP47" i="10"/>
  <c r="BO47" i="10"/>
  <c r="Z47" i="10"/>
  <c r="AR47" i="10"/>
  <c r="AA47" i="10"/>
  <c r="BR47" i="10"/>
  <c r="AQ47" i="10"/>
  <c r="BM47" i="10"/>
  <c r="AD47" i="10"/>
  <c r="AW47" i="10"/>
  <c r="BK47" i="10" s="1"/>
  <c r="AF47" i="10"/>
  <c r="AY47" i="10"/>
  <c r="BL47" i="10" s="1"/>
  <c r="BT47" i="10"/>
  <c r="AO47" i="10"/>
  <c r="AX47" i="10"/>
  <c r="AU47" i="10"/>
  <c r="AV47" i="10"/>
  <c r="BJ47" i="10" s="1"/>
  <c r="AG47" i="10"/>
  <c r="AZ47" i="10"/>
  <c r="BA47" i="10"/>
  <c r="AL16" i="11"/>
  <c r="AM16" i="11" s="1"/>
  <c r="E31" i="2" a="1"/>
  <c r="E31" i="2" s="1"/>
  <c r="K31" i="2" a="1"/>
  <c r="K31" i="2" s="1"/>
  <c r="D31" i="2" a="1"/>
  <c r="D31" i="2" s="1"/>
  <c r="J31" i="2" a="1"/>
  <c r="J31" i="2" s="1"/>
  <c r="BD44" i="9"/>
  <c r="M31" i="2" a="1"/>
  <c r="M31" i="2" s="1"/>
  <c r="AM44" i="11"/>
  <c r="H31" i="2" a="1"/>
  <c r="H31" i="2" s="1"/>
  <c r="BD45" i="13"/>
  <c r="BD44" i="10"/>
  <c r="AM44" i="9"/>
  <c r="BC46" i="13"/>
  <c r="BC58" i="13" s="1"/>
  <c r="AM45" i="13"/>
  <c r="AM44" i="10"/>
  <c r="AJ45" i="9"/>
  <c r="L32" i="2" s="1" a="1"/>
  <c r="L32" i="2" s="1"/>
  <c r="BC45" i="10"/>
  <c r="BC45" i="11"/>
  <c r="G32" i="2" s="1" a="1"/>
  <c r="G32" i="2" s="1"/>
  <c r="BB46" i="9"/>
  <c r="BB58" i="9" s="1"/>
  <c r="BB46" i="10"/>
  <c r="AS46" i="9"/>
  <c r="AS58" i="9" s="1"/>
  <c r="AL16" i="9"/>
  <c r="AM16" i="9" s="1"/>
  <c r="AE46" i="9"/>
  <c r="AI46" i="9" s="1"/>
  <c r="AB46" i="9"/>
  <c r="BC45" i="9"/>
  <c r="M32" i="2" s="1" a="1"/>
  <c r="M32" i="2" s="1"/>
  <c r="AJ46" i="13"/>
  <c r="AJ45" i="11"/>
  <c r="F32" i="2" s="1" a="1"/>
  <c r="F32" i="2" s="1"/>
  <c r="AS46" i="11"/>
  <c r="AS58" i="11" s="1"/>
  <c r="AE46" i="11"/>
  <c r="AB46" i="11"/>
  <c r="BB46" i="11"/>
  <c r="BB58" i="11" s="1"/>
  <c r="AJ45" i="10"/>
  <c r="AL16" i="10"/>
  <c r="AM16" i="10" s="1"/>
  <c r="AS46" i="10"/>
  <c r="AE46" i="10"/>
  <c r="AI46" i="10" s="1"/>
  <c r="AB46" i="10"/>
  <c r="AC46" i="10" s="1"/>
  <c r="BL46" i="12"/>
  <c r="BL58" i="12" s="1"/>
  <c r="BL46" i="11"/>
  <c r="BL58" i="11" s="1"/>
  <c r="BC45" i="12"/>
  <c r="BD45" i="12" s="1"/>
  <c r="BN46" i="13"/>
  <c r="BN58" i="13" s="1"/>
  <c r="BN45" i="11"/>
  <c r="BV45" i="11" s="1"/>
  <c r="BY45" i="11" s="1"/>
  <c r="AL16" i="12"/>
  <c r="AM16" i="12" s="1"/>
  <c r="AJ45" i="12"/>
  <c r="AM45" i="12" s="1"/>
  <c r="BH46" i="12"/>
  <c r="BH58" i="12" s="1"/>
  <c r="BB46" i="12"/>
  <c r="BB58" i="12" s="1"/>
  <c r="BK46" i="12"/>
  <c r="BK58" i="12" s="1"/>
  <c r="BJ46" i="12"/>
  <c r="BJ58" i="12" s="1"/>
  <c r="AB46" i="12"/>
  <c r="AB58" i="12" s="1"/>
  <c r="AE46" i="12"/>
  <c r="AE58" i="12" s="1"/>
  <c r="BI46" i="12"/>
  <c r="BI58" i="12" s="1"/>
  <c r="AS46" i="12"/>
  <c r="AS58" i="12" s="1"/>
  <c r="BU46" i="12"/>
  <c r="BU58" i="12" s="1"/>
  <c r="BN45" i="12"/>
  <c r="BV45" i="12" s="1"/>
  <c r="BY45" i="12" s="1"/>
  <c r="BU46" i="11"/>
  <c r="BU58" i="11" s="1"/>
  <c r="BH46" i="11"/>
  <c r="BH58" i="11" s="1"/>
  <c r="BI46" i="11"/>
  <c r="BI58" i="11" s="1"/>
  <c r="BK46" i="11"/>
  <c r="BK58" i="11" s="1"/>
  <c r="BJ46" i="11"/>
  <c r="BJ58" i="11" s="1"/>
  <c r="BN45" i="10"/>
  <c r="BV45" i="10" s="1"/>
  <c r="BY45" i="10" s="1"/>
  <c r="BK46" i="10"/>
  <c r="BU46" i="10"/>
  <c r="BH46" i="10"/>
  <c r="BI46" i="10"/>
  <c r="BJ46" i="10"/>
  <c r="BU46" i="9"/>
  <c r="BU58" i="9" s="1"/>
  <c r="BI46" i="9"/>
  <c r="BI58" i="9" s="1"/>
  <c r="BJ46" i="9"/>
  <c r="BJ58" i="9" s="1"/>
  <c r="BK46" i="9"/>
  <c r="BK58" i="9" s="1"/>
  <c r="BN45" i="9"/>
  <c r="BV45" i="9" s="1"/>
  <c r="BY45" i="9" s="1"/>
  <c r="BH46" i="9"/>
  <c r="BH58" i="9" s="1"/>
  <c r="AH48" i="10" l="1"/>
  <c r="AC46" i="9"/>
  <c r="AC58" i="9" s="1"/>
  <c r="AB58" i="9"/>
  <c r="BA49" i="9"/>
  <c r="BA48" i="9"/>
  <c r="AC46" i="11"/>
  <c r="AC58" i="11" s="1"/>
  <c r="AB58" i="11"/>
  <c r="BA50" i="11"/>
  <c r="AI46" i="11"/>
  <c r="AI58" i="11" s="1"/>
  <c r="AE58" i="11"/>
  <c r="BA48" i="11"/>
  <c r="AK58" i="11"/>
  <c r="BA53" i="11"/>
  <c r="BA52" i="11"/>
  <c r="BA54" i="11"/>
  <c r="BA51" i="11"/>
  <c r="BA56" i="11"/>
  <c r="BA55" i="11"/>
  <c r="BA49" i="11"/>
  <c r="BA58" i="11" s="1"/>
  <c r="AJ58" i="13"/>
  <c r="AL58" i="13" s="1"/>
  <c r="BA50" i="9"/>
  <c r="BA55" i="9"/>
  <c r="BA56" i="9"/>
  <c r="BA54" i="9"/>
  <c r="BA51" i="9"/>
  <c r="BA52" i="9"/>
  <c r="BA53" i="9"/>
  <c r="AK58" i="12"/>
  <c r="BA58" i="13"/>
  <c r="BA55" i="12"/>
  <c r="BA53" i="12"/>
  <c r="BA48" i="12"/>
  <c r="BA49" i="12"/>
  <c r="BA51" i="12"/>
  <c r="BA50" i="12"/>
  <c r="BA56" i="12"/>
  <c r="BA54" i="12"/>
  <c r="BA52" i="12"/>
  <c r="BB47" i="10"/>
  <c r="AS47" i="10"/>
  <c r="BA48" i="10"/>
  <c r="AZ48" i="10"/>
  <c r="AE47" i="10"/>
  <c r="AI47" i="10" s="1"/>
  <c r="AB47" i="10"/>
  <c r="AC47" i="10" s="1"/>
  <c r="AJ47" i="10" s="1"/>
  <c r="AM47" i="10" s="1"/>
  <c r="BM48" i="10"/>
  <c r="AR48" i="10"/>
  <c r="AY48" i="10"/>
  <c r="BL48" i="10" s="1"/>
  <c r="AD48" i="10"/>
  <c r="BO48" i="10"/>
  <c r="AP48" i="10"/>
  <c r="AW48" i="10"/>
  <c r="BK48" i="10" s="1"/>
  <c r="BP48" i="10"/>
  <c r="Y48" i="10"/>
  <c r="AX48" i="10"/>
  <c r="Z48" i="10"/>
  <c r="AA48" i="10"/>
  <c r="AO48" i="10"/>
  <c r="BR48" i="10"/>
  <c r="AQ48" i="10"/>
  <c r="BT48" i="10"/>
  <c r="AT48" i="10"/>
  <c r="V48" i="10"/>
  <c r="AF48" i="10"/>
  <c r="AV48" i="10"/>
  <c r="BJ48" i="10" s="1"/>
  <c r="AU48" i="10"/>
  <c r="AG48" i="10"/>
  <c r="BU47" i="10"/>
  <c r="BI47" i="10"/>
  <c r="BN47" i="10" s="1"/>
  <c r="AK48" i="10"/>
  <c r="AI46" i="12"/>
  <c r="AI58" i="12" s="1"/>
  <c r="D32" i="2" a="1"/>
  <c r="D32" i="2" s="1"/>
  <c r="J32" i="2" a="1"/>
  <c r="J32" i="2" s="1"/>
  <c r="AM45" i="11"/>
  <c r="H32" i="2" a="1"/>
  <c r="H32" i="2" s="1"/>
  <c r="BD46" i="13"/>
  <c r="BD58" i="13" s="1"/>
  <c r="BD45" i="11"/>
  <c r="I32" i="2" a="1"/>
  <c r="I32" i="2" s="1"/>
  <c r="E32" i="2" a="1"/>
  <c r="E32" i="2" s="1"/>
  <c r="K32" i="2" a="1"/>
  <c r="K32" i="2" s="1"/>
  <c r="AM45" i="9"/>
  <c r="BD45" i="9"/>
  <c r="AM46" i="13"/>
  <c r="AM58" i="13" s="1"/>
  <c r="BD45" i="10"/>
  <c r="AM45" i="10"/>
  <c r="BC46" i="9"/>
  <c r="BC46" i="10"/>
  <c r="AJ46" i="9"/>
  <c r="L33" i="2" s="1" a="1"/>
  <c r="L33" i="2" s="1"/>
  <c r="BC46" i="11"/>
  <c r="BC58" i="11" s="1"/>
  <c r="AJ46" i="10"/>
  <c r="AC46" i="12"/>
  <c r="AC58" i="12" s="1"/>
  <c r="BV46" i="13"/>
  <c r="BC46" i="12"/>
  <c r="BC58" i="12" s="1"/>
  <c r="BN46" i="12"/>
  <c r="BN58" i="12" s="1"/>
  <c r="BN46" i="11"/>
  <c r="BN58" i="11" s="1"/>
  <c r="BN46" i="10"/>
  <c r="BN46" i="9"/>
  <c r="BN58" i="9" s="1"/>
  <c r="AH49" i="10" l="1"/>
  <c r="BY46" i="13"/>
  <c r="BY15" i="13" s="1"/>
  <c r="AC11" i="13"/>
  <c r="BA58" i="12"/>
  <c r="BA58" i="9"/>
  <c r="AJ46" i="11"/>
  <c r="AJ58" i="11" s="1"/>
  <c r="AL58" i="11" s="1"/>
  <c r="AH58" i="11"/>
  <c r="F33" i="2" a="1"/>
  <c r="F33" i="2" s="1"/>
  <c r="AH58" i="9"/>
  <c r="G33" i="2" a="1"/>
  <c r="G33" i="2" s="1"/>
  <c r="BV58" i="13"/>
  <c r="M33" i="2" a="1"/>
  <c r="M33" i="2" s="1"/>
  <c r="BC58" i="9"/>
  <c r="BV47" i="10"/>
  <c r="BY47" i="10" s="1"/>
  <c r="BU48" i="10"/>
  <c r="BC47" i="10"/>
  <c r="BD47" i="10" s="1"/>
  <c r="AG49" i="10"/>
  <c r="AZ49" i="10"/>
  <c r="BA49" i="10"/>
  <c r="AP49" i="10"/>
  <c r="AW49" i="10"/>
  <c r="BK49" i="10" s="1"/>
  <c r="AX49" i="10"/>
  <c r="BM49" i="10"/>
  <c r="BO49" i="10"/>
  <c r="AY49" i="10"/>
  <c r="BL49" i="10" s="1"/>
  <c r="Y49" i="10"/>
  <c r="Z49" i="10"/>
  <c r="AA49" i="10"/>
  <c r="AH50" i="10" s="1"/>
  <c r="AO49" i="10"/>
  <c r="AF49" i="10"/>
  <c r="AQ49" i="10"/>
  <c r="V49" i="10"/>
  <c r="V50" i="10" s="1"/>
  <c r="BT49" i="10"/>
  <c r="BR49" i="10"/>
  <c r="AR49" i="10"/>
  <c r="BP49" i="10"/>
  <c r="AT49" i="10"/>
  <c r="AD49" i="10"/>
  <c r="AV49" i="10"/>
  <c r="BJ49" i="10" s="1"/>
  <c r="AU49" i="10"/>
  <c r="BI49" i="10" s="1"/>
  <c r="AS48" i="10"/>
  <c r="BI48" i="10"/>
  <c r="AK49" i="10"/>
  <c r="BH48" i="10"/>
  <c r="BB48" i="10"/>
  <c r="AE48" i="10"/>
  <c r="AI48" i="10" s="1"/>
  <c r="AB48" i="10"/>
  <c r="AC48" i="10" s="1"/>
  <c r="J33" i="2" a="1"/>
  <c r="J33" i="2" s="1"/>
  <c r="E33" i="2" a="1"/>
  <c r="E33" i="2" s="1"/>
  <c r="K33" i="2" a="1"/>
  <c r="K33" i="2" s="1"/>
  <c r="AM46" i="11"/>
  <c r="AM58" i="11" s="1"/>
  <c r="H33" i="2" a="1"/>
  <c r="H33" i="2" s="1"/>
  <c r="BD46" i="11"/>
  <c r="I33" i="2" a="1"/>
  <c r="I33" i="2" s="1"/>
  <c r="AM46" i="9"/>
  <c r="BD46" i="9"/>
  <c r="BD46" i="10"/>
  <c r="AM46" i="10"/>
  <c r="AJ46" i="12"/>
  <c r="F38" i="13"/>
  <c r="X11" i="13"/>
  <c r="Y11" i="13" s="1"/>
  <c r="W11" i="13"/>
  <c r="BV46" i="12"/>
  <c r="BD46" i="12"/>
  <c r="BD58" i="12" s="1"/>
  <c r="BV46" i="11"/>
  <c r="AC11" i="11" s="1"/>
  <c r="AE13" i="4" a="1"/>
  <c r="AE13" i="4" s="1"/>
  <c r="BV46" i="10"/>
  <c r="BY46" i="10" s="1"/>
  <c r="BY15" i="10" s="1"/>
  <c r="BV46" i="9"/>
  <c r="AI13" i="4" a="1"/>
  <c r="AI13" i="4" s="1"/>
  <c r="AC11" i="12" l="1"/>
  <c r="BY46" i="12"/>
  <c r="BY15" i="12" s="1"/>
  <c r="F38" i="12" s="1"/>
  <c r="BV58" i="9"/>
  <c r="BY46" i="9"/>
  <c r="BY15" i="9" s="1"/>
  <c r="AC11" i="9"/>
  <c r="BC48" i="10"/>
  <c r="BD48" i="10" s="1"/>
  <c r="BV58" i="11"/>
  <c r="BV58" i="12"/>
  <c r="D33" i="2" a="1"/>
  <c r="D33" i="2" s="1"/>
  <c r="AJ58" i="12"/>
  <c r="AE14" i="4" a="1"/>
  <c r="AE14" i="4" s="1"/>
  <c r="BD58" i="11"/>
  <c r="BD58" i="9"/>
  <c r="AK50" i="10"/>
  <c r="AS49" i="10"/>
  <c r="BU49" i="10"/>
  <c r="AW50" i="10"/>
  <c r="BK50" i="10" s="1"/>
  <c r="AX50" i="10"/>
  <c r="AF50" i="10"/>
  <c r="AQ50" i="10"/>
  <c r="AD50" i="10"/>
  <c r="AY50" i="10"/>
  <c r="BL50" i="10" s="1"/>
  <c r="AT50" i="10"/>
  <c r="BM50" i="10"/>
  <c r="AP50" i="10"/>
  <c r="Z50" i="10"/>
  <c r="AR50" i="10"/>
  <c r="Y50" i="10"/>
  <c r="BR50" i="10"/>
  <c r="AA50" i="10"/>
  <c r="AH51" i="10" s="1"/>
  <c r="AO50" i="10"/>
  <c r="BO50" i="10"/>
  <c r="BT50" i="10"/>
  <c r="BP50" i="10"/>
  <c r="AV50" i="10"/>
  <c r="BJ50" i="10" s="1"/>
  <c r="AU50" i="10"/>
  <c r="AJ48" i="10"/>
  <c r="AM48" i="10" s="1"/>
  <c r="AG50" i="10"/>
  <c r="BH49" i="10"/>
  <c r="BN49" i="10" s="1"/>
  <c r="BB49" i="10"/>
  <c r="BC49" i="10" s="1"/>
  <c r="BD49" i="10" s="1"/>
  <c r="AZ50" i="10"/>
  <c r="BA50" i="10"/>
  <c r="BN48" i="10"/>
  <c r="BV48" i="10" s="1"/>
  <c r="BY48" i="10" s="1"/>
  <c r="AE49" i="10"/>
  <c r="AI49" i="10" s="1"/>
  <c r="AB49" i="10"/>
  <c r="AC49" i="10" s="1"/>
  <c r="AA13" i="4" a="1"/>
  <c r="AA13" i="4" s="1"/>
  <c r="AA14" i="4" a="1"/>
  <c r="AA14" i="4" s="1"/>
  <c r="AM46" i="12"/>
  <c r="AC13" i="4" a="1"/>
  <c r="AC13" i="4" s="1"/>
  <c r="W11" i="11"/>
  <c r="BY46" i="11"/>
  <c r="BY15" i="11" s="1"/>
  <c r="F38" i="11" s="1"/>
  <c r="F38" i="10"/>
  <c r="AE10" i="4" a="1"/>
  <c r="AE10" i="4" s="1"/>
  <c r="AE9" i="4" a="1"/>
  <c r="AE9" i="4" s="1"/>
  <c r="BA51" i="10" l="1"/>
  <c r="AS50" i="10"/>
  <c r="BV49" i="10"/>
  <c r="BY49" i="10" s="1"/>
  <c r="X11" i="11"/>
  <c r="Y11" i="11" s="1"/>
  <c r="AC14" i="4" a="1"/>
  <c r="AC14" i="4" s="1"/>
  <c r="AI14" i="4" a="1"/>
  <c r="AI14" i="4" s="1"/>
  <c r="AL58" i="12"/>
  <c r="AM58" i="12"/>
  <c r="AA10" i="4" s="1" a="1"/>
  <c r="AA10" i="4" s="1"/>
  <c r="BU50" i="10"/>
  <c r="AG51" i="10"/>
  <c r="BB50" i="10"/>
  <c r="BH50" i="10"/>
  <c r="AZ51" i="10"/>
  <c r="BI50" i="10"/>
  <c r="AK51" i="10"/>
  <c r="AB50" i="10"/>
  <c r="AC50" i="10" s="1"/>
  <c r="AE50" i="10"/>
  <c r="AI50" i="10" s="1"/>
  <c r="AT51" i="10"/>
  <c r="Y51" i="10"/>
  <c r="AP51" i="10"/>
  <c r="BM51" i="10"/>
  <c r="AA51" i="10"/>
  <c r="AH52" i="10" s="1"/>
  <c r="AW51" i="10"/>
  <c r="BK51" i="10" s="1"/>
  <c r="AO51" i="10"/>
  <c r="AF51" i="10"/>
  <c r="BO51" i="10"/>
  <c r="BP51" i="10"/>
  <c r="BT51" i="10"/>
  <c r="V51" i="10"/>
  <c r="AX51" i="10"/>
  <c r="AD51" i="10"/>
  <c r="AY51" i="10"/>
  <c r="BL51" i="10" s="1"/>
  <c r="AR51" i="10"/>
  <c r="AQ51" i="10"/>
  <c r="Z51" i="10"/>
  <c r="BR51" i="10"/>
  <c r="AU51" i="10"/>
  <c r="AV51" i="10"/>
  <c r="BJ51" i="10" s="1"/>
  <c r="AJ49" i="10"/>
  <c r="AM49" i="10" s="1"/>
  <c r="F38" i="9"/>
  <c r="O44" i="9"/>
  <c r="S15" i="4" s="1" a="1"/>
  <c r="S15" i="4" s="1"/>
  <c r="AE20" i="9"/>
  <c r="AE21" i="9"/>
  <c r="AI21" i="9" s="1"/>
  <c r="AJ21" i="9" s="1"/>
  <c r="AE22" i="9"/>
  <c r="AI22" i="9" s="1"/>
  <c r="AJ22" i="9" s="1"/>
  <c r="AE23" i="9"/>
  <c r="AI23" i="9" s="1"/>
  <c r="AJ23" i="9" s="1"/>
  <c r="AE24" i="9"/>
  <c r="AI24" i="9" s="1"/>
  <c r="AJ24" i="9" s="1"/>
  <c r="AE25" i="9"/>
  <c r="AI25" i="9" s="1"/>
  <c r="AJ25" i="9" s="1"/>
  <c r="AE26" i="9"/>
  <c r="AI26" i="9" s="1"/>
  <c r="AJ26" i="9" s="1"/>
  <c r="AE27" i="9"/>
  <c r="AI27" i="9" s="1"/>
  <c r="AJ27" i="9" s="1"/>
  <c r="AE28" i="9"/>
  <c r="AI28" i="9" s="1"/>
  <c r="AJ28" i="9" s="1"/>
  <c r="AE29" i="9"/>
  <c r="AI29" i="9" s="1"/>
  <c r="AJ29" i="9" s="1"/>
  <c r="AE30" i="9"/>
  <c r="AI30" i="9" s="1"/>
  <c r="AJ30" i="9" s="1"/>
  <c r="AE31" i="9"/>
  <c r="AI31" i="9" s="1"/>
  <c r="AJ31" i="9" s="1"/>
  <c r="AE32" i="9"/>
  <c r="AI32" i="9" s="1"/>
  <c r="AJ32" i="9" s="1"/>
  <c r="AE33" i="9"/>
  <c r="AI33" i="9" s="1"/>
  <c r="AJ33" i="9" s="1"/>
  <c r="AE34" i="9"/>
  <c r="AI34" i="9" s="1"/>
  <c r="AJ34" i="9" s="1"/>
  <c r="AE35" i="9"/>
  <c r="AI35" i="9" s="1"/>
  <c r="AJ35" i="9" s="1"/>
  <c r="AE36" i="9"/>
  <c r="AI36" i="9" s="1"/>
  <c r="AJ36" i="9" s="1"/>
  <c r="AE37" i="9"/>
  <c r="AI37" i="9" s="1"/>
  <c r="AJ37" i="9" s="1"/>
  <c r="AE38" i="9"/>
  <c r="AI38" i="9" s="1"/>
  <c r="AJ38" i="9" s="1"/>
  <c r="AE39" i="9"/>
  <c r="AI39" i="9" s="1"/>
  <c r="AJ39" i="9" s="1"/>
  <c r="AA9" i="4" a="1"/>
  <c r="AA9" i="4" s="1"/>
  <c r="AC9" i="4" a="1"/>
  <c r="AC9" i="4" s="1"/>
  <c r="AC10" i="4" a="1"/>
  <c r="AC10" i="4" s="1"/>
  <c r="AS51" i="10" l="1"/>
  <c r="BC50" i="10"/>
  <c r="BD50" i="10" s="1"/>
  <c r="AE58" i="9"/>
  <c r="X11" i="12"/>
  <c r="Y11" i="12" s="1"/>
  <c r="W11" i="12"/>
  <c r="AJ50" i="10"/>
  <c r="AM50" i="10" s="1"/>
  <c r="BI51" i="10"/>
  <c r="AK52" i="10"/>
  <c r="BA52" i="10"/>
  <c r="AZ52" i="10"/>
  <c r="BA53" i="10" s="1"/>
  <c r="AG52" i="10"/>
  <c r="BN50" i="10"/>
  <c r="BV50" i="10" s="1"/>
  <c r="BY50" i="10" s="1"/>
  <c r="V52" i="10"/>
  <c r="BR52" i="10"/>
  <c r="AY52" i="10"/>
  <c r="BL52" i="10" s="1"/>
  <c r="BM52" i="10"/>
  <c r="AA52" i="10"/>
  <c r="BT52" i="10"/>
  <c r="AQ52" i="10"/>
  <c r="AW52" i="10"/>
  <c r="BK52" i="10" s="1"/>
  <c r="AP52" i="10"/>
  <c r="Z52" i="10"/>
  <c r="AR52" i="10"/>
  <c r="AD52" i="10"/>
  <c r="Y52" i="10"/>
  <c r="AX52" i="10"/>
  <c r="BO52" i="10"/>
  <c r="AF52" i="10"/>
  <c r="AT52" i="10"/>
  <c r="BP52" i="10"/>
  <c r="AO52" i="10"/>
  <c r="AV52" i="10"/>
  <c r="BJ52" i="10" s="1"/>
  <c r="AU52" i="10"/>
  <c r="AB51" i="10"/>
  <c r="AC51" i="10" s="1"/>
  <c r="AE51" i="10"/>
  <c r="AI51" i="10" s="1"/>
  <c r="BU51" i="10"/>
  <c r="BB51" i="10"/>
  <c r="BC51" i="10" s="1"/>
  <c r="BD51" i="10" s="1"/>
  <c r="BH51" i="10"/>
  <c r="L16" i="2" a="1"/>
  <c r="L16" i="2" s="1"/>
  <c r="AM29" i="9"/>
  <c r="L15" i="2" a="1"/>
  <c r="L15" i="2" s="1"/>
  <c r="AM28" i="9"/>
  <c r="L26" i="2" a="1"/>
  <c r="L26" i="2" s="1"/>
  <c r="AM39" i="9"/>
  <c r="L14" i="2" a="1"/>
  <c r="L14" i="2" s="1"/>
  <c r="AM27" i="9"/>
  <c r="L25" i="2" a="1"/>
  <c r="L25" i="2" s="1"/>
  <c r="AM38" i="9"/>
  <c r="L13" i="2" a="1"/>
  <c r="L13" i="2" s="1"/>
  <c r="AM26" i="9"/>
  <c r="L24" i="2" a="1"/>
  <c r="L24" i="2" s="1"/>
  <c r="AM37" i="9"/>
  <c r="L12" i="2" a="1"/>
  <c r="L12" i="2" s="1"/>
  <c r="AM25" i="9"/>
  <c r="L23" i="2" a="1"/>
  <c r="L23" i="2" s="1"/>
  <c r="AM36" i="9"/>
  <c r="L11" i="2" a="1"/>
  <c r="L11" i="2" s="1"/>
  <c r="AM24" i="9"/>
  <c r="L22" i="2" a="1"/>
  <c r="L22" i="2" s="1"/>
  <c r="AM35" i="9"/>
  <c r="L10" i="2" a="1"/>
  <c r="L10" i="2" s="1"/>
  <c r="AM23" i="9"/>
  <c r="L21" i="2" a="1"/>
  <c r="L21" i="2" s="1"/>
  <c r="AM34" i="9"/>
  <c r="L9" i="2" a="1"/>
  <c r="L9" i="2" s="1"/>
  <c r="AM22" i="9"/>
  <c r="L20" i="2" a="1"/>
  <c r="L20" i="2" s="1"/>
  <c r="AM33" i="9"/>
  <c r="L8" i="2" a="1"/>
  <c r="L8" i="2" s="1"/>
  <c r="AM21" i="9"/>
  <c r="L19" i="2" a="1"/>
  <c r="L19" i="2" s="1"/>
  <c r="AM32" i="9"/>
  <c r="AI20" i="9"/>
  <c r="AI58" i="9" s="1"/>
  <c r="L18" i="2" a="1"/>
  <c r="L18" i="2" s="1"/>
  <c r="AM31" i="9"/>
  <c r="L17" i="2" a="1"/>
  <c r="L17" i="2" s="1"/>
  <c r="AM30" i="9"/>
  <c r="AA17" i="4" a="1"/>
  <c r="AA17" i="4" s="1"/>
  <c r="AC17" i="4" a="1"/>
  <c r="AC17" i="4" s="1"/>
  <c r="AH53" i="10" l="1"/>
  <c r="BN51" i="10"/>
  <c r="AG58" i="12"/>
  <c r="BV51" i="10"/>
  <c r="BY51" i="10" s="1"/>
  <c r="BU52" i="10"/>
  <c r="AJ51" i="10"/>
  <c r="AM51" i="10" s="1"/>
  <c r="AS52" i="10"/>
  <c r="AG53" i="10"/>
  <c r="BI52" i="10"/>
  <c r="AK53" i="10"/>
  <c r="BH52" i="10"/>
  <c r="BB52" i="10"/>
  <c r="AD53" i="10"/>
  <c r="BO53" i="10"/>
  <c r="AP53" i="10"/>
  <c r="BP53" i="10"/>
  <c r="AT53" i="10"/>
  <c r="AY53" i="10"/>
  <c r="BL53" i="10" s="1"/>
  <c r="V53" i="10"/>
  <c r="Y53" i="10"/>
  <c r="Z53" i="10"/>
  <c r="AA53" i="10"/>
  <c r="AF53" i="10"/>
  <c r="BM53" i="10"/>
  <c r="AR53" i="10"/>
  <c r="AW53" i="10"/>
  <c r="BK53" i="10" s="1"/>
  <c r="BR53" i="10"/>
  <c r="AX53" i="10"/>
  <c r="AQ53" i="10"/>
  <c r="BT53" i="10"/>
  <c r="AO53" i="10"/>
  <c r="AU53" i="10"/>
  <c r="AV53" i="10"/>
  <c r="BJ53" i="10" s="1"/>
  <c r="AE52" i="10"/>
  <c r="AI52" i="10" s="1"/>
  <c r="AB52" i="10"/>
  <c r="AC52" i="10" s="1"/>
  <c r="AZ53" i="10"/>
  <c r="AJ20" i="9"/>
  <c r="AJ58" i="9" s="1"/>
  <c r="AL58" i="9" s="1"/>
  <c r="AH54" i="10" l="1"/>
  <c r="BN52" i="10"/>
  <c r="BV52" i="10" s="1"/>
  <c r="BY52" i="10" s="1"/>
  <c r="AH58" i="12"/>
  <c r="BU53" i="10"/>
  <c r="BI53" i="10"/>
  <c r="AK54" i="10"/>
  <c r="AG54" i="10"/>
  <c r="BA54" i="10"/>
  <c r="AZ54" i="10"/>
  <c r="AS53" i="10"/>
  <c r="AB53" i="10"/>
  <c r="AC53" i="10" s="1"/>
  <c r="AE53" i="10"/>
  <c r="AI53" i="10" s="1"/>
  <c r="BH53" i="10"/>
  <c r="BB53" i="10"/>
  <c r="BC52" i="10"/>
  <c r="BD52" i="10" s="1"/>
  <c r="AJ52" i="10"/>
  <c r="AM52" i="10" s="1"/>
  <c r="AY54" i="10"/>
  <c r="BL54" i="10" s="1"/>
  <c r="AP54" i="10"/>
  <c r="BR54" i="10"/>
  <c r="BM54" i="10"/>
  <c r="AR54" i="10"/>
  <c r="AT54" i="10"/>
  <c r="BP54" i="10"/>
  <c r="AD54" i="10"/>
  <c r="Z54" i="10"/>
  <c r="BT54" i="10"/>
  <c r="AQ54" i="10"/>
  <c r="AW54" i="10"/>
  <c r="BK54" i="10" s="1"/>
  <c r="V54" i="10"/>
  <c r="AF54" i="10"/>
  <c r="AA54" i="10"/>
  <c r="AX54" i="10"/>
  <c r="AO54" i="10"/>
  <c r="Y54" i="10"/>
  <c r="BO54" i="10"/>
  <c r="AV54" i="10"/>
  <c r="BJ54" i="10" s="1"/>
  <c r="AU54" i="10"/>
  <c r="L7" i="2" a="1"/>
  <c r="L7" i="2" s="1"/>
  <c r="AM20" i="9"/>
  <c r="AM58" i="9" s="1"/>
  <c r="AS54" i="10" l="1"/>
  <c r="AH55" i="10"/>
  <c r="BN53" i="10"/>
  <c r="BV53" i="10" s="1"/>
  <c r="BY53" i="10" s="1"/>
  <c r="BC53" i="10"/>
  <c r="BD53" i="10" s="1"/>
  <c r="AJ53" i="10"/>
  <c r="AM53" i="10" s="1"/>
  <c r="BH54" i="10"/>
  <c r="BB54" i="10"/>
  <c r="BC54" i="10" s="1"/>
  <c r="BD54" i="10" s="1"/>
  <c r="AG55" i="10"/>
  <c r="BI54" i="10"/>
  <c r="AK55" i="10"/>
  <c r="BA55" i="10"/>
  <c r="AZ55" i="10"/>
  <c r="AB54" i="10"/>
  <c r="AC54" i="10" s="1"/>
  <c r="AE54" i="10"/>
  <c r="AI54" i="10" s="1"/>
  <c r="V55" i="10"/>
  <c r="AW55" i="10"/>
  <c r="BK55" i="10" s="1"/>
  <c r="BO55" i="10"/>
  <c r="AX55" i="10"/>
  <c r="BP55" i="10"/>
  <c r="AT55" i="10"/>
  <c r="AY55" i="10"/>
  <c r="BL55" i="10" s="1"/>
  <c r="Y55" i="10"/>
  <c r="AQ55" i="10"/>
  <c r="BT55" i="10"/>
  <c r="AP55" i="10"/>
  <c r="Z55" i="10"/>
  <c r="BM55" i="10"/>
  <c r="AO55" i="10"/>
  <c r="AA55" i="10"/>
  <c r="AH56" i="10" s="1"/>
  <c r="AH58" i="10" s="1"/>
  <c r="AF55" i="10"/>
  <c r="BR55" i="10"/>
  <c r="AR55" i="10"/>
  <c r="AD55" i="10"/>
  <c r="AU55" i="10"/>
  <c r="AV55" i="10"/>
  <c r="BJ55" i="10" s="1"/>
  <c r="BU54" i="10"/>
  <c r="AI9" i="4" a="1"/>
  <c r="AI9" i="4" s="1"/>
  <c r="W11" i="9"/>
  <c r="AI10" i="4" a="1"/>
  <c r="AI10" i="4" s="1"/>
  <c r="X11" i="9"/>
  <c r="Y11" i="9" s="1"/>
  <c r="AI17" i="4" s="1" a="1"/>
  <c r="AI17" i="4" s="1"/>
  <c r="AJ54" i="10" l="1"/>
  <c r="AM54" i="10" s="1"/>
  <c r="AG56" i="10"/>
  <c r="AG58" i="10" s="1"/>
  <c r="BP56" i="10"/>
  <c r="BP58" i="10" s="1"/>
  <c r="AY56" i="10"/>
  <c r="BM56" i="10"/>
  <c r="BM58" i="10" s="1"/>
  <c r="V56" i="10"/>
  <c r="BO56" i="10"/>
  <c r="BO58" i="10" s="1"/>
  <c r="AP56" i="10"/>
  <c r="AP58" i="10" s="1"/>
  <c r="AX56" i="10"/>
  <c r="AX58" i="10" s="1"/>
  <c r="AD56" i="10"/>
  <c r="AD58" i="10" s="1"/>
  <c r="BT56" i="10"/>
  <c r="BT58" i="10" s="1"/>
  <c r="AQ56" i="10"/>
  <c r="AQ58" i="10" s="1"/>
  <c r="AR56" i="10"/>
  <c r="AR58" i="10" s="1"/>
  <c r="BS58" i="10"/>
  <c r="AA56" i="10"/>
  <c r="AA58" i="10" s="1"/>
  <c r="AO56" i="10"/>
  <c r="AO58" i="10" s="1"/>
  <c r="Y56" i="10"/>
  <c r="Y58" i="10" s="1"/>
  <c r="AT56" i="10"/>
  <c r="AT58" i="10" s="1"/>
  <c r="Z56" i="10"/>
  <c r="Z58" i="10" s="1"/>
  <c r="BR56" i="10"/>
  <c r="BR58" i="10" s="1"/>
  <c r="AF56" i="10"/>
  <c r="AF58" i="10" s="1"/>
  <c r="AW56" i="10"/>
  <c r="BQ58" i="10"/>
  <c r="BX58" i="10"/>
  <c r="AV56" i="10"/>
  <c r="AU56" i="10"/>
  <c r="BU55" i="10"/>
  <c r="BB55" i="10"/>
  <c r="BH55" i="10"/>
  <c r="BN54" i="10"/>
  <c r="BV54" i="10" s="1"/>
  <c r="BY54" i="10" s="1"/>
  <c r="BI55" i="10"/>
  <c r="AK56" i="10"/>
  <c r="AK58" i="10" s="1"/>
  <c r="BA56" i="10"/>
  <c r="BA58" i="10" s="1"/>
  <c r="AZ56" i="10"/>
  <c r="AZ58" i="10" s="1"/>
  <c r="AS55" i="10"/>
  <c r="AB55" i="10"/>
  <c r="AC55" i="10" s="1"/>
  <c r="AE55" i="10"/>
  <c r="AI55" i="10" s="1"/>
  <c r="BL56" i="10" l="1"/>
  <c r="BL58" i="10" s="1"/>
  <c r="AY58" i="10"/>
  <c r="BK56" i="10"/>
  <c r="BK58" i="10" s="1"/>
  <c r="AW58" i="10"/>
  <c r="BI56" i="10"/>
  <c r="BI58" i="10" s="1"/>
  <c r="AU58" i="10"/>
  <c r="BJ56" i="10"/>
  <c r="BJ58" i="10" s="1"/>
  <c r="AV58" i="10"/>
  <c r="BC55" i="10"/>
  <c r="BD55" i="10" s="1"/>
  <c r="AJ55" i="10"/>
  <c r="AM55" i="10" s="1"/>
  <c r="BN55" i="10"/>
  <c r="BV55" i="10" s="1"/>
  <c r="BY55" i="10" s="1"/>
  <c r="AE56" i="10"/>
  <c r="AE58" i="10" s="1"/>
  <c r="AB56" i="10"/>
  <c r="BU56" i="10"/>
  <c r="BU58" i="10" s="1"/>
  <c r="BB56" i="10"/>
  <c r="BB58" i="10" s="1"/>
  <c r="BH56" i="10"/>
  <c r="AS56" i="10"/>
  <c r="BN56" i="10" l="1"/>
  <c r="BN58" i="10" s="1"/>
  <c r="BH58" i="10"/>
  <c r="AI56" i="10"/>
  <c r="AI58" i="10" s="1"/>
  <c r="AC56" i="10"/>
  <c r="AC58" i="10" s="1"/>
  <c r="AB58" i="10"/>
  <c r="BC56" i="10"/>
  <c r="AS58" i="10"/>
  <c r="BV56" i="10"/>
  <c r="AJ56" i="10"/>
  <c r="BY56" i="10" l="1"/>
  <c r="AC11" i="10"/>
  <c r="BV58" i="10"/>
  <c r="AM56" i="10"/>
  <c r="AM58" i="10" s="1"/>
  <c r="AJ58" i="10"/>
  <c r="BD56" i="10"/>
  <c r="BD58" i="10" s="1"/>
  <c r="AG14" i="4" s="1" a="1"/>
  <c r="AG14" i="4" s="1"/>
  <c r="BC58" i="10"/>
  <c r="AG13" i="4" s="1" a="1"/>
  <c r="AG13" i="4" s="1"/>
  <c r="AL58" i="10" l="1"/>
  <c r="W11" i="10" s="1"/>
  <c r="AG9" i="4" a="1"/>
  <c r="AG9" i="4" s="1"/>
  <c r="X11" i="10"/>
  <c r="Y11" i="10" s="1"/>
  <c r="AG10" i="4" a="1"/>
  <c r="AG10" i="4" s="1"/>
  <c r="AE17" i="4" l="1" a="1"/>
  <c r="AE17" i="4" s="1"/>
  <c r="AG17" i="4" a="1"/>
  <c r="AG17"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<sst xmlns="http://schemas.openxmlformats.org/spreadsheetml/2006/main" count="2280" uniqueCount="278">
  <si>
    <t>PSC</t>
    <phoneticPr fontId="2"/>
  </si>
  <si>
    <t>PFI-LCC</t>
    <phoneticPr fontId="2"/>
  </si>
  <si>
    <t>SPC</t>
    <phoneticPr fontId="2"/>
  </si>
  <si>
    <t>事業期間</t>
    <rPh sb="0" eb="4">
      <t>ジギョウキカン</t>
    </rPh>
    <phoneticPr fontId="2"/>
  </si>
  <si>
    <t>補助金</t>
    <rPh sb="0" eb="3">
      <t>ホジョキン</t>
    </rPh>
    <phoneticPr fontId="2"/>
  </si>
  <si>
    <t>地方債利回り</t>
    <rPh sb="0" eb="3">
      <t>チホウサイ</t>
    </rPh>
    <rPh sb="3" eb="5">
      <t>リマワ</t>
    </rPh>
    <phoneticPr fontId="2"/>
  </si>
  <si>
    <t>％</t>
    <phoneticPr fontId="2"/>
  </si>
  <si>
    <t>年</t>
    <rPh sb="0" eb="1">
      <t>ネン</t>
    </rPh>
    <phoneticPr fontId="2"/>
  </si>
  <si>
    <t>百万円</t>
    <rPh sb="0" eb="3">
      <t>ヒャクマンエン</t>
    </rPh>
    <phoneticPr fontId="2"/>
  </si>
  <si>
    <t>経過年度</t>
    <rPh sb="0" eb="2">
      <t>ケイカ</t>
    </rPh>
    <rPh sb="2" eb="4">
      <t>ネンド</t>
    </rPh>
    <phoneticPr fontId="2"/>
  </si>
  <si>
    <t>基準金利</t>
    <rPh sb="0" eb="4">
      <t>キジュンキンリ</t>
    </rPh>
    <phoneticPr fontId="2"/>
  </si>
  <si>
    <t>スプレッド</t>
    <phoneticPr fontId="2"/>
  </si>
  <si>
    <t>収入</t>
    <rPh sb="0" eb="2">
      <t>シュウニュウ</t>
    </rPh>
    <phoneticPr fontId="2"/>
  </si>
  <si>
    <t>支出</t>
    <rPh sb="0" eb="2">
      <t>シシュツ</t>
    </rPh>
    <phoneticPr fontId="2"/>
  </si>
  <si>
    <t>収支</t>
    <rPh sb="0" eb="2">
      <t>シュウシ</t>
    </rPh>
    <phoneticPr fontId="2"/>
  </si>
  <si>
    <t>VFM</t>
    <phoneticPr fontId="2"/>
  </si>
  <si>
    <t>収支差額</t>
    <rPh sb="0" eb="2">
      <t>シュウシ</t>
    </rPh>
    <rPh sb="2" eb="4">
      <t>サガク</t>
    </rPh>
    <phoneticPr fontId="2"/>
  </si>
  <si>
    <t>PIRR</t>
    <phoneticPr fontId="2"/>
  </si>
  <si>
    <t>借入金利</t>
    <rPh sb="0" eb="4">
      <t>カリイレキンリ</t>
    </rPh>
    <phoneticPr fontId="2"/>
  </si>
  <si>
    <t>単位</t>
    <rPh sb="0" eb="2">
      <t>タンイ</t>
    </rPh>
    <phoneticPr fontId="2"/>
  </si>
  <si>
    <t>備考</t>
    <rPh sb="0" eb="2">
      <t>ビコウ</t>
    </rPh>
    <phoneticPr fontId="2"/>
  </si>
  <si>
    <t>利用料金収入</t>
    <rPh sb="0" eb="6">
      <t>リヨウリョウキンシュウニュウ</t>
    </rPh>
    <phoneticPr fontId="2"/>
  </si>
  <si>
    <t>■収支（アウトプット）</t>
    <rPh sb="1" eb="3">
      <t>シュウシ</t>
    </rPh>
    <phoneticPr fontId="2"/>
  </si>
  <si>
    <t>起債への交付金（額）</t>
    <rPh sb="0" eb="2">
      <t>キサイ</t>
    </rPh>
    <rPh sb="4" eb="7">
      <t>コウフキン</t>
    </rPh>
    <rPh sb="8" eb="9">
      <t>ガク</t>
    </rPh>
    <phoneticPr fontId="2"/>
  </si>
  <si>
    <t>起債発行額（額）</t>
    <rPh sb="0" eb="2">
      <t>キサイ</t>
    </rPh>
    <rPh sb="2" eb="5">
      <t>ハッコウガク</t>
    </rPh>
    <rPh sb="6" eb="7">
      <t>ガク</t>
    </rPh>
    <phoneticPr fontId="2"/>
  </si>
  <si>
    <t>完工後、割賦払</t>
    <rPh sb="0" eb="3">
      <t>カンコウゴ</t>
    </rPh>
    <rPh sb="4" eb="7">
      <t>カップバラ</t>
    </rPh>
    <phoneticPr fontId="2"/>
  </si>
  <si>
    <t>物価上昇率</t>
    <rPh sb="0" eb="5">
      <t>ブッカジョウショウリツ</t>
    </rPh>
    <phoneticPr fontId="2"/>
  </si>
  <si>
    <t>整備期間</t>
    <rPh sb="0" eb="4">
      <t>セイビキカン</t>
    </rPh>
    <phoneticPr fontId="2"/>
  </si>
  <si>
    <t>維持管理・運営期間</t>
    <rPh sb="0" eb="4">
      <t>イジカンリ</t>
    </rPh>
    <rPh sb="5" eb="7">
      <t>ウンエイ</t>
    </rPh>
    <rPh sb="7" eb="9">
      <t>キカン</t>
    </rPh>
    <phoneticPr fontId="2"/>
  </si>
  <si>
    <t>施設整備費用</t>
    <rPh sb="0" eb="2">
      <t>シセツ</t>
    </rPh>
    <rPh sb="2" eb="6">
      <t>セイビヒヨウ</t>
    </rPh>
    <phoneticPr fontId="2"/>
  </si>
  <si>
    <t>交付金</t>
    <rPh sb="0" eb="3">
      <t>コウフキン</t>
    </rPh>
    <phoneticPr fontId="2"/>
  </si>
  <si>
    <t>起債発行額</t>
    <rPh sb="0" eb="5">
      <t>キサイハッコウガク</t>
    </rPh>
    <phoneticPr fontId="2"/>
  </si>
  <si>
    <t>施設整備費用</t>
    <rPh sb="0" eb="6">
      <t>シセツセイビヒヨウ</t>
    </rPh>
    <phoneticPr fontId="2"/>
  </si>
  <si>
    <t>維持管理運営費用</t>
    <rPh sb="0" eb="4">
      <t>イジカンリ</t>
    </rPh>
    <rPh sb="4" eb="8">
      <t>ウンエイヒヨウ</t>
    </rPh>
    <phoneticPr fontId="2"/>
  </si>
  <si>
    <t>起債償還額</t>
    <rPh sb="0" eb="2">
      <t>キサイ</t>
    </rPh>
    <rPh sb="2" eb="5">
      <t>ショウカンガク</t>
    </rPh>
    <phoneticPr fontId="2"/>
  </si>
  <si>
    <t>起債利息</t>
    <rPh sb="0" eb="2">
      <t>キサイ</t>
    </rPh>
    <rPh sb="2" eb="4">
      <t>リソク</t>
    </rPh>
    <phoneticPr fontId="2"/>
  </si>
  <si>
    <t>収入計</t>
    <rPh sb="0" eb="2">
      <t>シュウニュウ</t>
    </rPh>
    <rPh sb="2" eb="3">
      <t>ケイ</t>
    </rPh>
    <phoneticPr fontId="2"/>
  </si>
  <si>
    <t>支出計</t>
    <rPh sb="0" eb="2">
      <t>シシュツ</t>
    </rPh>
    <rPh sb="2" eb="3">
      <t>ケイ</t>
    </rPh>
    <phoneticPr fontId="2"/>
  </si>
  <si>
    <t>リスク調整額</t>
    <rPh sb="3" eb="6">
      <t>チョウセイガク</t>
    </rPh>
    <phoneticPr fontId="2"/>
  </si>
  <si>
    <t>SPC経費</t>
    <rPh sb="3" eb="5">
      <t>ケイヒ</t>
    </rPh>
    <phoneticPr fontId="2"/>
  </si>
  <si>
    <t>SPC予備費</t>
    <rPh sb="3" eb="6">
      <t>ヨビヒ</t>
    </rPh>
    <phoneticPr fontId="2"/>
  </si>
  <si>
    <t>施設整備サービス対価（割賦元本）</t>
    <rPh sb="0" eb="4">
      <t>シセツセイビ</t>
    </rPh>
    <rPh sb="8" eb="10">
      <t>タイカ</t>
    </rPh>
    <rPh sb="11" eb="15">
      <t>カップガンポン</t>
    </rPh>
    <phoneticPr fontId="2"/>
  </si>
  <si>
    <t>施設整備サービス対価（割賦金利）</t>
    <rPh sb="0" eb="2">
      <t>シセツ</t>
    </rPh>
    <rPh sb="2" eb="4">
      <t>セイビ</t>
    </rPh>
    <rPh sb="8" eb="10">
      <t>タイカ</t>
    </rPh>
    <rPh sb="11" eb="15">
      <t>カップキンリ</t>
    </rPh>
    <phoneticPr fontId="2"/>
  </si>
  <si>
    <t>完工時、一括払</t>
    <rPh sb="0" eb="2">
      <t>カンコウ</t>
    </rPh>
    <rPh sb="2" eb="3">
      <t>ジ</t>
    </rPh>
    <rPh sb="4" eb="6">
      <t>イッカツ</t>
    </rPh>
    <rPh sb="6" eb="7">
      <t>ハラ</t>
    </rPh>
    <phoneticPr fontId="2"/>
  </si>
  <si>
    <t>起債償還額（年額）</t>
    <rPh sb="0" eb="5">
      <t>キサイショウカンガク</t>
    </rPh>
    <rPh sb="6" eb="8">
      <t>ネンガク</t>
    </rPh>
    <phoneticPr fontId="2"/>
  </si>
  <si>
    <t>■前提条件入力</t>
    <rPh sb="1" eb="5">
      <t>ゼンテイジョウケン</t>
    </rPh>
    <rPh sb="5" eb="7">
      <t>ニュウリョク</t>
    </rPh>
    <phoneticPr fontId="2"/>
  </si>
  <si>
    <t>■計算</t>
    <rPh sb="1" eb="3">
      <t>ケイサン</t>
    </rPh>
    <phoneticPr fontId="2"/>
  </si>
  <si>
    <t>SPC利回り</t>
    <rPh sb="3" eb="5">
      <t>リマワ</t>
    </rPh>
    <phoneticPr fontId="2"/>
  </si>
  <si>
    <t>事業方式</t>
    <rPh sb="0" eb="4">
      <t>ジギョウホウシキ</t>
    </rPh>
    <phoneticPr fontId="2"/>
  </si>
  <si>
    <t>-</t>
    <phoneticPr fontId="2"/>
  </si>
  <si>
    <t>DB</t>
    <phoneticPr fontId="2"/>
  </si>
  <si>
    <t>DBO</t>
    <phoneticPr fontId="2"/>
  </si>
  <si>
    <t>BT</t>
    <phoneticPr fontId="2"/>
  </si>
  <si>
    <t>BTO</t>
    <phoneticPr fontId="2"/>
  </si>
  <si>
    <t>維持管理費</t>
    <rPh sb="0" eb="5">
      <t>イジカンリヒ</t>
    </rPh>
    <phoneticPr fontId="2"/>
  </si>
  <si>
    <t>割引係数</t>
    <rPh sb="0" eb="4">
      <t>ワリビキケイスウ</t>
    </rPh>
    <phoneticPr fontId="2"/>
  </si>
  <si>
    <t>（現在価値割引後）</t>
    <rPh sb="1" eb="5">
      <t>ゲンザイカチ</t>
    </rPh>
    <rPh sb="5" eb="8">
      <t>ワリビキゴ</t>
    </rPh>
    <phoneticPr fontId="2"/>
  </si>
  <si>
    <t>施設整備費用合計</t>
    <rPh sb="0" eb="2">
      <t>シセツ</t>
    </rPh>
    <rPh sb="2" eb="6">
      <t>セイビヒヨウ</t>
    </rPh>
    <rPh sb="6" eb="8">
      <t>ゴウケイ</t>
    </rPh>
    <phoneticPr fontId="2"/>
  </si>
  <si>
    <t>割賦金利</t>
    <rPh sb="0" eb="4">
      <t>カップキンリ</t>
    </rPh>
    <phoneticPr fontId="2"/>
  </si>
  <si>
    <t>PSCは競争の効果反映、LCCは削減率を反映</t>
    <rPh sb="4" eb="6">
      <t>キョウソウ</t>
    </rPh>
    <rPh sb="7" eb="9">
      <t>コウカ</t>
    </rPh>
    <rPh sb="9" eb="11">
      <t>ハンエイ</t>
    </rPh>
    <rPh sb="16" eb="18">
      <t>サクゲン</t>
    </rPh>
    <rPh sb="18" eb="19">
      <t>リツ</t>
    </rPh>
    <rPh sb="20" eb="22">
      <t>ハンエイ</t>
    </rPh>
    <phoneticPr fontId="2"/>
  </si>
  <si>
    <t>１．共通条件</t>
    <rPh sb="2" eb="4">
      <t>キョウツウ</t>
    </rPh>
    <rPh sb="4" eb="6">
      <t>ジョウケン</t>
    </rPh>
    <phoneticPr fontId="2"/>
  </si>
  <si>
    <t>施設整備サービス対価（一括払）</t>
    <rPh sb="0" eb="4">
      <t>シセツセイビ</t>
    </rPh>
    <rPh sb="8" eb="10">
      <t>タイカ</t>
    </rPh>
    <rPh sb="11" eb="14">
      <t>イッカツハラ</t>
    </rPh>
    <phoneticPr fontId="2"/>
  </si>
  <si>
    <t>施設整備サービス対価（一括払）</t>
    <rPh sb="0" eb="4">
      <t>シセツセイビ</t>
    </rPh>
    <rPh sb="8" eb="10">
      <t>タイカ</t>
    </rPh>
    <rPh sb="11" eb="14">
      <t>イッカツバライ</t>
    </rPh>
    <phoneticPr fontId="2"/>
  </si>
  <si>
    <t>整備期間開始日</t>
    <rPh sb="0" eb="4">
      <t>セイビキカン</t>
    </rPh>
    <rPh sb="4" eb="7">
      <t>カイシヒ</t>
    </rPh>
    <phoneticPr fontId="2"/>
  </si>
  <si>
    <t>整備期間終了日</t>
    <rPh sb="0" eb="4">
      <t>セイビキカン</t>
    </rPh>
    <rPh sb="4" eb="7">
      <t>シュウリョウヒ</t>
    </rPh>
    <phoneticPr fontId="2"/>
  </si>
  <si>
    <t>維持管理運営期間開始日</t>
    <rPh sb="0" eb="4">
      <t>イジカンリ</t>
    </rPh>
    <rPh sb="4" eb="8">
      <t>ウンエイキカン</t>
    </rPh>
    <rPh sb="8" eb="11">
      <t>カイシヒ</t>
    </rPh>
    <phoneticPr fontId="2"/>
  </si>
  <si>
    <t>維持管理運営期間終了日</t>
    <rPh sb="0" eb="8">
      <t>イジカンリウンエイキカン</t>
    </rPh>
    <rPh sb="8" eb="11">
      <t>シュウリョウヒ</t>
    </rPh>
    <phoneticPr fontId="2"/>
  </si>
  <si>
    <t>5.2SPC経費</t>
    <rPh sb="6" eb="8">
      <t>ケイヒ</t>
    </rPh>
    <phoneticPr fontId="2"/>
  </si>
  <si>
    <t>5.3SPC予備費</t>
    <rPh sb="6" eb="9">
      <t>ヨビヒ</t>
    </rPh>
    <phoneticPr fontId="2"/>
  </si>
  <si>
    <t>5.4官民での利払い費用の差</t>
    <rPh sb="3" eb="5">
      <t>カンミン</t>
    </rPh>
    <rPh sb="7" eb="9">
      <t>リバラ</t>
    </rPh>
    <rPh sb="10" eb="12">
      <t>ヒヨウ</t>
    </rPh>
    <rPh sb="13" eb="14">
      <t>サ</t>
    </rPh>
    <phoneticPr fontId="2"/>
  </si>
  <si>
    <t>官民での利払い差（レート）</t>
    <rPh sb="0" eb="2">
      <t>カンミン</t>
    </rPh>
    <rPh sb="4" eb="6">
      <t>リバラ</t>
    </rPh>
    <rPh sb="7" eb="8">
      <t>サ</t>
    </rPh>
    <phoneticPr fontId="2"/>
  </si>
  <si>
    <t>うち、予定価格を反映</t>
    <rPh sb="3" eb="5">
      <t>ヨテイ</t>
    </rPh>
    <rPh sb="5" eb="7">
      <t>カカク</t>
    </rPh>
    <rPh sb="8" eb="10">
      <t>ハンエイ</t>
    </rPh>
    <phoneticPr fontId="2"/>
  </si>
  <si>
    <t>うち、過去の落札価格を反映</t>
    <rPh sb="3" eb="5">
      <t>カコ</t>
    </rPh>
    <rPh sb="6" eb="10">
      <t>ラクサツカカク</t>
    </rPh>
    <rPh sb="11" eb="13">
      <t>ハンエイ</t>
    </rPh>
    <phoneticPr fontId="2"/>
  </si>
  <si>
    <t>施設整備費用(インフレ考慮後）</t>
    <rPh sb="0" eb="2">
      <t>シセツ</t>
    </rPh>
    <rPh sb="2" eb="6">
      <t>セイビヒヨウ</t>
    </rPh>
    <rPh sb="11" eb="14">
      <t>コウリョゴ</t>
    </rPh>
    <phoneticPr fontId="2"/>
  </si>
  <si>
    <t>支払利息</t>
    <rPh sb="0" eb="2">
      <t>シハライ</t>
    </rPh>
    <rPh sb="2" eb="4">
      <t>リソク</t>
    </rPh>
    <phoneticPr fontId="2"/>
  </si>
  <si>
    <t>借入金元本返済</t>
    <rPh sb="0" eb="3">
      <t>カリイレキン</t>
    </rPh>
    <rPh sb="3" eb="7">
      <t>ガンポンヘンサイ</t>
    </rPh>
    <phoneticPr fontId="2"/>
  </si>
  <si>
    <t>償還期間（年）</t>
    <rPh sb="0" eb="4">
      <t>ショウカンキカン</t>
    </rPh>
    <rPh sb="5" eb="6">
      <t>ネン</t>
    </rPh>
    <phoneticPr fontId="2"/>
  </si>
  <si>
    <t>利用料金収入（百万円、年額）</t>
    <rPh sb="0" eb="6">
      <t>リヨウリョウキンシュウニュウ</t>
    </rPh>
    <rPh sb="7" eb="10">
      <t>ヒャクマンエン</t>
    </rPh>
    <rPh sb="11" eb="13">
      <t>ネンガク</t>
    </rPh>
    <phoneticPr fontId="2"/>
  </si>
  <si>
    <t>借入金利以上であることを確認</t>
    <rPh sb="0" eb="4">
      <t>カリイレキンリ</t>
    </rPh>
    <rPh sb="4" eb="6">
      <t>イジョウ</t>
    </rPh>
    <rPh sb="12" eb="14">
      <t>カクニン</t>
    </rPh>
    <phoneticPr fontId="2"/>
  </si>
  <si>
    <t>民間の借入金利</t>
    <rPh sb="0" eb="2">
      <t>ミンカン</t>
    </rPh>
    <rPh sb="3" eb="5">
      <t>カリイレ</t>
    </rPh>
    <rPh sb="5" eb="7">
      <t>キンリ</t>
    </rPh>
    <phoneticPr fontId="2"/>
  </si>
  <si>
    <t>維持管理・運営期間</t>
    <rPh sb="0" eb="4">
      <t>イジカンリ</t>
    </rPh>
    <rPh sb="5" eb="9">
      <t>ウンエイキカン</t>
    </rPh>
    <phoneticPr fontId="2"/>
  </si>
  <si>
    <t>施設整備費見込額</t>
    <rPh sb="0" eb="5">
      <t>シセツセイビヒ</t>
    </rPh>
    <rPh sb="5" eb="8">
      <t>ミコミガク</t>
    </rPh>
    <phoneticPr fontId="2"/>
  </si>
  <si>
    <t>維持管理・運営費見込額</t>
    <rPh sb="0" eb="4">
      <t>イジカンリ</t>
    </rPh>
    <rPh sb="5" eb="8">
      <t>ウンエイヒ</t>
    </rPh>
    <rPh sb="8" eb="11">
      <t>ミコミガク</t>
    </rPh>
    <phoneticPr fontId="2"/>
  </si>
  <si>
    <t>年額</t>
    <rPh sb="0" eb="2">
      <t>ネンガク</t>
    </rPh>
    <phoneticPr fontId="2"/>
  </si>
  <si>
    <t>総額</t>
    <rPh sb="0" eb="2">
      <t>ソウガク</t>
    </rPh>
    <phoneticPr fontId="2"/>
  </si>
  <si>
    <t>PSC（従来手法による財政負担）</t>
    <rPh sb="4" eb="8">
      <t>ジュウライシュホウ</t>
    </rPh>
    <rPh sb="11" eb="15">
      <t>ザイセイフタン</t>
    </rPh>
    <phoneticPr fontId="2"/>
  </si>
  <si>
    <t>PFI-LCC（PFI実施による財政負担）</t>
    <rPh sb="11" eb="13">
      <t>ジッシ</t>
    </rPh>
    <rPh sb="16" eb="20">
      <t>ザイセイフタン</t>
    </rPh>
    <phoneticPr fontId="2"/>
  </si>
  <si>
    <t>①収支額</t>
    <rPh sb="1" eb="3">
      <t>シュウシ</t>
    </rPh>
    <rPh sb="3" eb="4">
      <t>ガク</t>
    </rPh>
    <phoneticPr fontId="2"/>
  </si>
  <si>
    <t>②収支額（現在価値割引・リスク調整考慮後）</t>
    <rPh sb="1" eb="4">
      <t>シュウシガク</t>
    </rPh>
    <rPh sb="5" eb="7">
      <t>ゲンザイ</t>
    </rPh>
    <rPh sb="7" eb="9">
      <t>カチ</t>
    </rPh>
    <rPh sb="9" eb="11">
      <t>ワリビキ</t>
    </rPh>
    <rPh sb="15" eb="17">
      <t>チョウセイ</t>
    </rPh>
    <rPh sb="17" eb="19">
      <t>コウリョ</t>
    </rPh>
    <rPh sb="19" eb="20">
      <t>ゴ</t>
    </rPh>
    <phoneticPr fontId="2"/>
  </si>
  <si>
    <t>③収支額</t>
    <rPh sb="1" eb="3">
      <t>シュウシ</t>
    </rPh>
    <rPh sb="3" eb="4">
      <t>ガク</t>
    </rPh>
    <phoneticPr fontId="2"/>
  </si>
  <si>
    <t>（④ー②）÷②</t>
    <phoneticPr fontId="2"/>
  </si>
  <si>
    <t>事業内容</t>
    <rPh sb="0" eb="2">
      <t>ジギョウ</t>
    </rPh>
    <rPh sb="2" eb="4">
      <t>ナイヨウ</t>
    </rPh>
    <phoneticPr fontId="2"/>
  </si>
  <si>
    <t>資金調達</t>
    <rPh sb="0" eb="4">
      <t>シキンチョウタツ</t>
    </rPh>
    <phoneticPr fontId="2"/>
  </si>
  <si>
    <t>公共債の発行</t>
    <rPh sb="0" eb="3">
      <t>コウキョウサイ</t>
    </rPh>
    <rPh sb="4" eb="6">
      <t>ハッコウ</t>
    </rPh>
    <phoneticPr fontId="2"/>
  </si>
  <si>
    <t>公共債の利率</t>
    <rPh sb="0" eb="3">
      <t>コウキョウサイ</t>
    </rPh>
    <rPh sb="4" eb="6">
      <t>リリツ</t>
    </rPh>
    <phoneticPr fontId="2"/>
  </si>
  <si>
    <t>施設整備費の支払い条件</t>
    <rPh sb="0" eb="5">
      <t>シセツセイビヒ</t>
    </rPh>
    <rPh sb="6" eb="8">
      <t>シハラ</t>
    </rPh>
    <rPh sb="9" eb="11">
      <t>ジョウケン</t>
    </rPh>
    <phoneticPr fontId="2"/>
  </si>
  <si>
    <t>PFI実施時の割賦金利</t>
    <rPh sb="3" eb="5">
      <t>ジッシ</t>
    </rPh>
    <rPh sb="5" eb="6">
      <t>ジ</t>
    </rPh>
    <rPh sb="7" eb="11">
      <t>カップキンリ</t>
    </rPh>
    <phoneticPr fontId="2"/>
  </si>
  <si>
    <t>合計</t>
    <rPh sb="0" eb="2">
      <t>ゴウケイ</t>
    </rPh>
    <phoneticPr fontId="2"/>
  </si>
  <si>
    <t xml:space="preserve"> </t>
    <phoneticPr fontId="2"/>
  </si>
  <si>
    <t>算定の前提条件</t>
    <rPh sb="0" eb="2">
      <t>サンテイ</t>
    </rPh>
    <rPh sb="3" eb="7">
      <t>ゼンテイジョウケン</t>
    </rPh>
    <phoneticPr fontId="2"/>
  </si>
  <si>
    <t>算定結果</t>
    <rPh sb="0" eb="4">
      <t>サンテイケッカ</t>
    </rPh>
    <phoneticPr fontId="2"/>
  </si>
  <si>
    <t>④収支額（現在価値割引後）</t>
    <rPh sb="1" eb="4">
      <t>シュウシガク</t>
    </rPh>
    <rPh sb="5" eb="7">
      <t>ゲンザイ</t>
    </rPh>
    <rPh sb="7" eb="9">
      <t>カチ</t>
    </rPh>
    <rPh sb="9" eb="11">
      <t>ワリビキ</t>
    </rPh>
    <rPh sb="11" eb="12">
      <t>ゴ</t>
    </rPh>
    <phoneticPr fontId="2"/>
  </si>
  <si>
    <t>法人住民税均等割</t>
    <rPh sb="0" eb="5">
      <t>ホウジンジュウミンゼイ</t>
    </rPh>
    <rPh sb="5" eb="8">
      <t>キントウワ</t>
    </rPh>
    <phoneticPr fontId="2"/>
  </si>
  <si>
    <t>Checks:割賦＞SPC収支</t>
    <rPh sb="7" eb="9">
      <t>カップ</t>
    </rPh>
    <rPh sb="13" eb="15">
      <t>シュウシ</t>
    </rPh>
    <phoneticPr fontId="2"/>
  </si>
  <si>
    <t>法人税等・公租公課</t>
    <rPh sb="0" eb="4">
      <t>ホウジンゼイトウ</t>
    </rPh>
    <rPh sb="5" eb="9">
      <t>コウソコウカ</t>
    </rPh>
    <phoneticPr fontId="2"/>
  </si>
  <si>
    <t>補助金収入（％）</t>
    <rPh sb="0" eb="5">
      <t>ホジョキンシュウニュウ</t>
    </rPh>
    <phoneticPr fontId="2"/>
  </si>
  <si>
    <t>起債への交付金（率）（％）</t>
    <rPh sb="0" eb="2">
      <t>キサイ</t>
    </rPh>
    <rPh sb="4" eb="7">
      <t>コウフキン</t>
    </rPh>
    <rPh sb="8" eb="9">
      <t>リツ</t>
    </rPh>
    <phoneticPr fontId="2"/>
  </si>
  <si>
    <t>起債充当率（％）</t>
    <rPh sb="0" eb="2">
      <t>キサイ</t>
    </rPh>
    <rPh sb="2" eb="5">
      <t>ジュウトウリツ</t>
    </rPh>
    <phoneticPr fontId="2"/>
  </si>
  <si>
    <t>*デフォルト値として記載</t>
    <rPh sb="6" eb="7">
      <t>アタイ</t>
    </rPh>
    <rPh sb="10" eb="12">
      <t>キサイ</t>
    </rPh>
    <phoneticPr fontId="2"/>
  </si>
  <si>
    <t>地方債利回り（％）</t>
    <rPh sb="0" eb="3">
      <t>チホウサイ</t>
    </rPh>
    <rPh sb="3" eb="5">
      <t>リマワ</t>
    </rPh>
    <phoneticPr fontId="2"/>
  </si>
  <si>
    <t>借入金利（％）</t>
    <rPh sb="0" eb="4">
      <t>カリイレキンリ</t>
    </rPh>
    <phoneticPr fontId="2"/>
  </si>
  <si>
    <t>うち、発注者への納付される税金</t>
    <rPh sb="3" eb="6">
      <t>ハッチュウシャ</t>
    </rPh>
    <rPh sb="8" eb="10">
      <t>ノウフ</t>
    </rPh>
    <rPh sb="13" eb="15">
      <t>ゼイキン</t>
    </rPh>
    <phoneticPr fontId="2"/>
  </si>
  <si>
    <t>５．事業に係る税金</t>
    <rPh sb="2" eb="4">
      <t>ジギョウ</t>
    </rPh>
    <rPh sb="5" eb="6">
      <t>カカ</t>
    </rPh>
    <rPh sb="7" eb="9">
      <t>ゼイキン</t>
    </rPh>
    <phoneticPr fontId="2"/>
  </si>
  <si>
    <t>６．リスク調整</t>
    <rPh sb="5" eb="7">
      <t>チョウセイ</t>
    </rPh>
    <phoneticPr fontId="2"/>
  </si>
  <si>
    <t>官民利払い費の差</t>
    <rPh sb="0" eb="4">
      <t>カンミンリバラ</t>
    </rPh>
    <rPh sb="5" eb="6">
      <t>ヒ</t>
    </rPh>
    <rPh sb="7" eb="8">
      <t>サ</t>
    </rPh>
    <phoneticPr fontId="2"/>
  </si>
  <si>
    <t>競争の効果反映</t>
    <rPh sb="0" eb="2">
      <t>キョウソウ</t>
    </rPh>
    <rPh sb="3" eb="5">
      <t>コウカ</t>
    </rPh>
    <rPh sb="5" eb="7">
      <t>ハンエイ</t>
    </rPh>
    <phoneticPr fontId="2"/>
  </si>
  <si>
    <t>民間が実施する場合の削減率（施設整備）</t>
    <rPh sb="0" eb="2">
      <t>ミンカン</t>
    </rPh>
    <rPh sb="3" eb="5">
      <t>ジッシ</t>
    </rPh>
    <rPh sb="7" eb="9">
      <t>バアイ</t>
    </rPh>
    <rPh sb="10" eb="13">
      <t>サクゲンリツ</t>
    </rPh>
    <rPh sb="14" eb="18">
      <t>シセツセイビ</t>
    </rPh>
    <phoneticPr fontId="2"/>
  </si>
  <si>
    <t>民間が実施する場合の削減率（維持管理運営）</t>
    <rPh sb="0" eb="2">
      <t>ミンカン</t>
    </rPh>
    <rPh sb="3" eb="5">
      <t>ジッシ</t>
    </rPh>
    <rPh sb="7" eb="9">
      <t>バアイ</t>
    </rPh>
    <rPh sb="10" eb="13">
      <t>サクゲンリツ</t>
    </rPh>
    <rPh sb="14" eb="18">
      <t>イジカンリ</t>
    </rPh>
    <rPh sb="18" eb="20">
      <t>ウンエイ</t>
    </rPh>
    <phoneticPr fontId="2"/>
  </si>
  <si>
    <t>2．事業にかかる費用</t>
    <rPh sb="2" eb="4">
      <t>ジギョウ</t>
    </rPh>
    <rPh sb="8" eb="10">
      <t>ヒヨウ</t>
    </rPh>
    <phoneticPr fontId="2"/>
  </si>
  <si>
    <t>３．事業にかかる収入</t>
    <rPh sb="2" eb="4">
      <t>ジギョウ</t>
    </rPh>
    <rPh sb="8" eb="10">
      <t>シュウニュウ</t>
    </rPh>
    <phoneticPr fontId="2"/>
  </si>
  <si>
    <t>４．事業にかかる資金調達</t>
    <rPh sb="2" eb="4">
      <t>ジギョウ</t>
    </rPh>
    <rPh sb="8" eb="12">
      <t>シキンチョウタツ</t>
    </rPh>
    <phoneticPr fontId="2"/>
  </si>
  <si>
    <t>施設整備費用の支払内訳</t>
    <rPh sb="0" eb="2">
      <t>シセツ</t>
    </rPh>
    <rPh sb="2" eb="6">
      <t>セイビヒヨウ</t>
    </rPh>
    <rPh sb="7" eb="9">
      <t>シハラ</t>
    </rPh>
    <rPh sb="9" eb="11">
      <t>ウチワケ</t>
    </rPh>
    <phoneticPr fontId="2"/>
  </si>
  <si>
    <t>２．事業にかかる費用</t>
    <rPh sb="2" eb="4">
      <t>ジギョウ</t>
    </rPh>
    <rPh sb="8" eb="10">
      <t>ヒヨウ</t>
    </rPh>
    <phoneticPr fontId="2"/>
  </si>
  <si>
    <t>2.1施設整備費用</t>
    <rPh sb="3" eb="5">
      <t>シセツ</t>
    </rPh>
    <rPh sb="5" eb="9">
      <t>セイビヒヨウ</t>
    </rPh>
    <phoneticPr fontId="2"/>
  </si>
  <si>
    <t>６.リスク調整額</t>
    <rPh sb="5" eb="8">
      <t>チョウセイガク</t>
    </rPh>
    <phoneticPr fontId="2"/>
  </si>
  <si>
    <t>税率</t>
    <rPh sb="0" eb="2">
      <t>ゼイリツ</t>
    </rPh>
    <phoneticPr fontId="2"/>
  </si>
  <si>
    <t>税額</t>
    <rPh sb="0" eb="2">
      <t>ゼイガク</t>
    </rPh>
    <phoneticPr fontId="2"/>
  </si>
  <si>
    <t>法人税</t>
    <rPh sb="0" eb="3">
      <t>ホウジンゼイ</t>
    </rPh>
    <phoneticPr fontId="2"/>
  </si>
  <si>
    <t>SPC税引前利益</t>
    <rPh sb="3" eb="5">
      <t>ゼイビ</t>
    </rPh>
    <rPh sb="5" eb="6">
      <t>マエ</t>
    </rPh>
    <rPh sb="6" eb="8">
      <t>リエキ</t>
    </rPh>
    <phoneticPr fontId="2"/>
  </si>
  <si>
    <t>SPC経費（年額）</t>
    <rPh sb="3" eb="4">
      <t>キョウ</t>
    </rPh>
    <rPh sb="6" eb="8">
      <t>ネンガク</t>
    </rPh>
    <phoneticPr fontId="2"/>
  </si>
  <si>
    <t>収支合計</t>
    <rPh sb="0" eb="4">
      <t>シュウシゴウケイ</t>
    </rPh>
    <phoneticPr fontId="2"/>
  </si>
  <si>
    <t>（リスク調整加算後）</t>
    <rPh sb="4" eb="6">
      <t>チョウセイ</t>
    </rPh>
    <rPh sb="6" eb="9">
      <t>カサンゴ</t>
    </rPh>
    <phoneticPr fontId="2"/>
  </si>
  <si>
    <t>4.1公共側</t>
    <rPh sb="3" eb="6">
      <t>コウキョウガワ</t>
    </rPh>
    <phoneticPr fontId="2"/>
  </si>
  <si>
    <t>4.2民間事業者側</t>
    <rPh sb="3" eb="8">
      <t>ミンカンジギョウシャ</t>
    </rPh>
    <rPh sb="8" eb="9">
      <t>ガワ</t>
    </rPh>
    <phoneticPr fontId="2"/>
  </si>
  <si>
    <t>実効税率</t>
    <rPh sb="0" eb="4">
      <t>ジッコウゼイリツ</t>
    </rPh>
    <phoneticPr fontId="2"/>
  </si>
  <si>
    <t>不動産取得税</t>
    <rPh sb="0" eb="6">
      <t>フドウサンシュトクゼイ</t>
    </rPh>
    <phoneticPr fontId="2"/>
  </si>
  <si>
    <t>固定資産税</t>
    <rPh sb="0" eb="4">
      <t>コテイシサン</t>
    </rPh>
    <rPh sb="4" eb="5">
      <t>ゼイ</t>
    </rPh>
    <phoneticPr fontId="2"/>
  </si>
  <si>
    <t>登録免許税</t>
    <rPh sb="0" eb="5">
      <t>トウロクメンキョゼイ</t>
    </rPh>
    <phoneticPr fontId="2"/>
  </si>
  <si>
    <t>BOT・BOO以外は不要</t>
    <rPh sb="7" eb="9">
      <t>イガイ</t>
    </rPh>
    <rPh sb="10" eb="12">
      <t>フヨウ</t>
    </rPh>
    <phoneticPr fontId="2"/>
  </si>
  <si>
    <t>（都道府県）事業税</t>
    <rPh sb="1" eb="5">
      <t>トドウフケン</t>
    </rPh>
    <rPh sb="6" eb="9">
      <t>ジギョウゼイ</t>
    </rPh>
    <phoneticPr fontId="2"/>
  </si>
  <si>
    <t>（都道府県）法人住民税率</t>
    <rPh sb="1" eb="5">
      <t>トドウフケン</t>
    </rPh>
    <rPh sb="6" eb="12">
      <t>ホウジンジュウミンゼイリツ</t>
    </rPh>
    <phoneticPr fontId="2"/>
  </si>
  <si>
    <t>（市町村）法人住民税率</t>
    <rPh sb="1" eb="4">
      <t>シチョウソン</t>
    </rPh>
    <rPh sb="5" eb="11">
      <t>ホウジンジュウミンゼイリツ</t>
    </rPh>
    <phoneticPr fontId="2"/>
  </si>
  <si>
    <t>施設整備額</t>
    <rPh sb="0" eb="5">
      <t>シセツセイビガク</t>
    </rPh>
    <phoneticPr fontId="2"/>
  </si>
  <si>
    <t>資本金1億円以下、従業員50万人以下</t>
    <rPh sb="0" eb="3">
      <t>シホンキン</t>
    </rPh>
    <rPh sb="4" eb="6">
      <t>オクエン</t>
    </rPh>
    <rPh sb="6" eb="8">
      <t>イカ</t>
    </rPh>
    <rPh sb="9" eb="12">
      <t>ジュウギョウイン</t>
    </rPh>
    <rPh sb="14" eb="16">
      <t>マンニン</t>
    </rPh>
    <rPh sb="16" eb="18">
      <t>イカ</t>
    </rPh>
    <phoneticPr fontId="2"/>
  </si>
  <si>
    <t>固定資産税</t>
    <rPh sb="0" eb="5">
      <t>コテイシサンゼイ</t>
    </rPh>
    <phoneticPr fontId="2"/>
  </si>
  <si>
    <t>発注者が都道府県の場合、入力</t>
    <rPh sb="0" eb="3">
      <t>ハッチュウシャ</t>
    </rPh>
    <rPh sb="4" eb="8">
      <t>トドウフケン</t>
    </rPh>
    <rPh sb="9" eb="11">
      <t>バアイ</t>
    </rPh>
    <rPh sb="12" eb="14">
      <t>ニュウリョク</t>
    </rPh>
    <phoneticPr fontId="2"/>
  </si>
  <si>
    <t>発注者が市町村又は東京都の場合、入力</t>
    <rPh sb="0" eb="3">
      <t>ハッチュウシャ</t>
    </rPh>
    <rPh sb="4" eb="7">
      <t>シチョウソン</t>
    </rPh>
    <rPh sb="7" eb="8">
      <t>マタ</t>
    </rPh>
    <rPh sb="9" eb="12">
      <t>トウキョウト</t>
    </rPh>
    <rPh sb="13" eb="15">
      <t>バアイ</t>
    </rPh>
    <rPh sb="16" eb="18">
      <t>ニュウリョク</t>
    </rPh>
    <phoneticPr fontId="2"/>
  </si>
  <si>
    <t>うち、発注者に納付される税金</t>
    <rPh sb="3" eb="6">
      <t>ハッチュウシャ</t>
    </rPh>
    <rPh sb="7" eb="9">
      <t>ノウフ</t>
    </rPh>
    <rPh sb="12" eb="14">
      <t>ゼイキン</t>
    </rPh>
    <phoneticPr fontId="2"/>
  </si>
  <si>
    <t>課税標準</t>
    <rPh sb="0" eb="4">
      <t>カゼイヒョウジュン</t>
    </rPh>
    <phoneticPr fontId="2"/>
  </si>
  <si>
    <t>（都道府県）不動産取得税　税額</t>
    <rPh sb="1" eb="5">
      <t>トドウフケン</t>
    </rPh>
    <rPh sb="6" eb="12">
      <t>フドウサンシュトクゼイ</t>
    </rPh>
    <rPh sb="13" eb="15">
      <t>ゼイガク</t>
    </rPh>
    <phoneticPr fontId="2"/>
  </si>
  <si>
    <t>1.1発注者区分</t>
    <rPh sb="3" eb="6">
      <t>ハッチュウシャ</t>
    </rPh>
    <rPh sb="6" eb="8">
      <t>クブン</t>
    </rPh>
    <phoneticPr fontId="2"/>
  </si>
  <si>
    <t>国</t>
    <rPh sb="0" eb="1">
      <t>クニ</t>
    </rPh>
    <phoneticPr fontId="2"/>
  </si>
  <si>
    <t>都道府県</t>
    <rPh sb="0" eb="4">
      <t>トドウフケン</t>
    </rPh>
    <phoneticPr fontId="2"/>
  </si>
  <si>
    <t>市町村</t>
    <rPh sb="0" eb="3">
      <t>シチョウソン</t>
    </rPh>
    <phoneticPr fontId="2"/>
  </si>
  <si>
    <t>1.2事業方式</t>
    <phoneticPr fontId="2"/>
  </si>
  <si>
    <t>1.3事業期間</t>
    <rPh sb="3" eb="7">
      <t>ジギョウキカン</t>
    </rPh>
    <phoneticPr fontId="2"/>
  </si>
  <si>
    <t>1.3事業期間（全体）</t>
    <rPh sb="3" eb="7">
      <t>ジギョウキカン</t>
    </rPh>
    <rPh sb="8" eb="10">
      <t>ゼンタイ</t>
    </rPh>
    <phoneticPr fontId="2"/>
  </si>
  <si>
    <t>（市町村）固定資産税　税額</t>
    <rPh sb="1" eb="4">
      <t>シチョウソン</t>
    </rPh>
    <rPh sb="5" eb="10">
      <t>コテイシサンゼイ</t>
    </rPh>
    <rPh sb="11" eb="13">
      <t>ゼイガク</t>
    </rPh>
    <phoneticPr fontId="2"/>
  </si>
  <si>
    <t>発注者に納付される税金　合計</t>
    <rPh sb="0" eb="3">
      <t>ハッチュウシャ</t>
    </rPh>
    <rPh sb="4" eb="6">
      <t>ノウフ</t>
    </rPh>
    <rPh sb="9" eb="11">
      <t>ゼイキン</t>
    </rPh>
    <rPh sb="12" eb="14">
      <t>ゴウケイ</t>
    </rPh>
    <phoneticPr fontId="2"/>
  </si>
  <si>
    <t>完工年度のみ</t>
    <rPh sb="0" eb="4">
      <t>カンコウネンド</t>
    </rPh>
    <phoneticPr fontId="2"/>
  </si>
  <si>
    <t>運営期間中</t>
    <rPh sb="0" eb="5">
      <t>ウンエイキカンチュウ</t>
    </rPh>
    <phoneticPr fontId="2"/>
  </si>
  <si>
    <t>サービス購入費として支払</t>
    <rPh sb="4" eb="7">
      <t>コウニュウヒ</t>
    </rPh>
    <rPh sb="10" eb="12">
      <t>シハライ</t>
    </rPh>
    <phoneticPr fontId="2"/>
  </si>
  <si>
    <t>割賦金利に含めて支払</t>
    <rPh sb="0" eb="4">
      <t>カップキンリ</t>
    </rPh>
    <rPh sb="5" eb="6">
      <t>フク</t>
    </rPh>
    <rPh sb="8" eb="10">
      <t>シハライ</t>
    </rPh>
    <phoneticPr fontId="2"/>
  </si>
  <si>
    <t>SPC費用　年額</t>
    <rPh sb="3" eb="5">
      <t>ヒヨウ</t>
    </rPh>
    <rPh sb="6" eb="8">
      <t>ネンガク</t>
    </rPh>
    <phoneticPr fontId="2"/>
  </si>
  <si>
    <t>SPC設立費用</t>
    <rPh sb="3" eb="7">
      <t>セツリツヒヨウ</t>
    </rPh>
    <phoneticPr fontId="2"/>
  </si>
  <si>
    <t>SPC経費　年額</t>
    <rPh sb="3" eb="5">
      <t>ケイヒ</t>
    </rPh>
    <rPh sb="6" eb="8">
      <t>ネンガク</t>
    </rPh>
    <phoneticPr fontId="2"/>
  </si>
  <si>
    <t>割賦元本に加算</t>
    <rPh sb="0" eb="4">
      <t>カップガンポン</t>
    </rPh>
    <rPh sb="5" eb="7">
      <t>カサン</t>
    </rPh>
    <phoneticPr fontId="2"/>
  </si>
  <si>
    <t>別途サービス購入費として支払</t>
    <rPh sb="0" eb="2">
      <t>ベット</t>
    </rPh>
    <rPh sb="6" eb="9">
      <t>コウニュウヒ</t>
    </rPh>
    <rPh sb="12" eb="14">
      <t>シハライ</t>
    </rPh>
    <phoneticPr fontId="2"/>
  </si>
  <si>
    <t>SPC費用</t>
    <rPh sb="3" eb="5">
      <t>ヒヨウ</t>
    </rPh>
    <phoneticPr fontId="2"/>
  </si>
  <si>
    <t>開業前SPC経費</t>
    <rPh sb="0" eb="3">
      <t>カイギョウマエ</t>
    </rPh>
    <rPh sb="6" eb="8">
      <t>ケイヒ</t>
    </rPh>
    <phoneticPr fontId="2"/>
  </si>
  <si>
    <t>SPC税金負担</t>
    <rPh sb="3" eb="5">
      <t>ゼイキン</t>
    </rPh>
    <rPh sb="5" eb="7">
      <t>フタン</t>
    </rPh>
    <phoneticPr fontId="2"/>
  </si>
  <si>
    <t>引渡時SPC税金負担</t>
    <rPh sb="0" eb="3">
      <t>ヒキワタシジ</t>
    </rPh>
    <rPh sb="6" eb="10">
      <t>ゼイキンフタン</t>
    </rPh>
    <phoneticPr fontId="2"/>
  </si>
  <si>
    <t>引渡時の不動産取得税・登録免許税</t>
    <rPh sb="0" eb="2">
      <t>ヒキワタシ</t>
    </rPh>
    <rPh sb="2" eb="3">
      <t>ジ</t>
    </rPh>
    <rPh sb="4" eb="7">
      <t>フドウサン</t>
    </rPh>
    <rPh sb="7" eb="10">
      <t>シュトクゼイ</t>
    </rPh>
    <rPh sb="11" eb="16">
      <t>トウロクメンキョゼイ</t>
    </rPh>
    <phoneticPr fontId="2"/>
  </si>
  <si>
    <t>リスク調整</t>
    <rPh sb="3" eb="5">
      <t>チョウセイ</t>
    </rPh>
    <phoneticPr fontId="2"/>
  </si>
  <si>
    <t>任意入力（全額）①　完工年度のみ</t>
    <rPh sb="0" eb="2">
      <t>ニンイ</t>
    </rPh>
    <rPh sb="2" eb="4">
      <t>ニュウリョク</t>
    </rPh>
    <rPh sb="5" eb="7">
      <t>ゼンガク</t>
    </rPh>
    <rPh sb="10" eb="14">
      <t>カンコウネンド</t>
    </rPh>
    <phoneticPr fontId="2"/>
  </si>
  <si>
    <t>任意入力（全額）②　運営期間中</t>
    <rPh sb="0" eb="2">
      <t>ニンイ</t>
    </rPh>
    <rPh sb="2" eb="4">
      <t>ニュウリョク</t>
    </rPh>
    <rPh sb="5" eb="7">
      <t>ゼンガク</t>
    </rPh>
    <rPh sb="10" eb="15">
      <t>ウンエイキカンチュウ</t>
    </rPh>
    <phoneticPr fontId="2"/>
  </si>
  <si>
    <t>サービス購入費（設立時費用）*サービス購入費に含める場合</t>
    <rPh sb="4" eb="7">
      <t>コウニュウヒ</t>
    </rPh>
    <rPh sb="8" eb="11">
      <t>セツリツジ</t>
    </rPh>
    <rPh sb="11" eb="13">
      <t>ヒヨウ</t>
    </rPh>
    <rPh sb="19" eb="22">
      <t>コウニュウヒ</t>
    </rPh>
    <rPh sb="23" eb="24">
      <t>フク</t>
    </rPh>
    <rPh sb="26" eb="28">
      <t>バアイ</t>
    </rPh>
    <phoneticPr fontId="2"/>
  </si>
  <si>
    <t>サービス購入費（SPC費用等）年額　*サービス購入費に含める場合</t>
    <rPh sb="4" eb="7">
      <t>コウニュウヒ</t>
    </rPh>
    <rPh sb="11" eb="13">
      <t>ヒヨウ</t>
    </rPh>
    <rPh sb="13" eb="14">
      <t>トウ</t>
    </rPh>
    <rPh sb="15" eb="17">
      <t>ネンガク</t>
    </rPh>
    <phoneticPr fontId="2"/>
  </si>
  <si>
    <t>20年国債利回り</t>
    <rPh sb="2" eb="3">
      <t>ネン</t>
    </rPh>
    <rPh sb="3" eb="5">
      <t>コクサイ</t>
    </rPh>
    <rPh sb="5" eb="7">
      <t>リマワ</t>
    </rPh>
    <phoneticPr fontId="2"/>
  </si>
  <si>
    <t>1.4割引率</t>
    <rPh sb="3" eb="6">
      <t>ワリビキリツ</t>
    </rPh>
    <phoneticPr fontId="2"/>
  </si>
  <si>
    <t>リスクフリーレート</t>
    <phoneticPr fontId="2"/>
  </si>
  <si>
    <t>民間資金調達スプレッド</t>
    <rPh sb="0" eb="2">
      <t>ミンカン</t>
    </rPh>
    <rPh sb="2" eb="6">
      <t>シキンチョウタツ</t>
    </rPh>
    <phoneticPr fontId="2"/>
  </si>
  <si>
    <t>2.2割賦金利（％）</t>
    <rPh sb="3" eb="7">
      <t>カップキンリ</t>
    </rPh>
    <phoneticPr fontId="2"/>
  </si>
  <si>
    <t>2.3維持管理運営費用（年額）</t>
    <rPh sb="3" eb="7">
      <t>イジカンリ</t>
    </rPh>
    <rPh sb="7" eb="11">
      <t>ウンエイヒヨウ</t>
    </rPh>
    <rPh sb="12" eb="14">
      <t>ネンガク</t>
    </rPh>
    <phoneticPr fontId="2"/>
  </si>
  <si>
    <t>調達必要額</t>
    <rPh sb="0" eb="2">
      <t>チョウタツ</t>
    </rPh>
    <rPh sb="2" eb="5">
      <t>ヒツヨウガク</t>
    </rPh>
    <phoneticPr fontId="2"/>
  </si>
  <si>
    <t>法人税課税標準（SPC税引前利敵）</t>
    <rPh sb="0" eb="3">
      <t>ホウジンゼイ</t>
    </rPh>
    <rPh sb="3" eb="7">
      <t>カゼイヒョウジュン</t>
    </rPh>
    <rPh sb="11" eb="14">
      <t>ゼイビキマエ</t>
    </rPh>
    <rPh sb="14" eb="16">
      <t>リテキ</t>
    </rPh>
    <phoneticPr fontId="2"/>
  </si>
  <si>
    <t>法人税率</t>
    <rPh sb="0" eb="4">
      <t>ホウジンゼイリツ</t>
    </rPh>
    <phoneticPr fontId="2"/>
  </si>
  <si>
    <t>0をデフォルト値とする</t>
    <rPh sb="7" eb="8">
      <t>アタイ</t>
    </rPh>
    <phoneticPr fontId="2"/>
  </si>
  <si>
    <t>（都道府県）法人住民税</t>
    <phoneticPr fontId="2"/>
  </si>
  <si>
    <t>（市町村）法人住民税</t>
    <rPh sb="1" eb="4">
      <t>シチョウソン</t>
    </rPh>
    <rPh sb="5" eb="7">
      <t>ホウジン</t>
    </rPh>
    <rPh sb="7" eb="10">
      <t>ジュウミンゼイ</t>
    </rPh>
    <phoneticPr fontId="2"/>
  </si>
  <si>
    <t>維持管理運営費用（年額）</t>
    <rPh sb="0" eb="4">
      <t>イジカンリ</t>
    </rPh>
    <rPh sb="4" eb="8">
      <t>ウンエイヒヨウ</t>
    </rPh>
    <rPh sb="9" eb="11">
      <t>ネンガク</t>
    </rPh>
    <phoneticPr fontId="2"/>
  </si>
  <si>
    <t>維持管理運営費用（総額）</t>
    <rPh sb="0" eb="4">
      <t>イジカンリ</t>
    </rPh>
    <rPh sb="4" eb="8">
      <t>ウンエイヒヨウ</t>
    </rPh>
    <rPh sb="9" eb="11">
      <t>ソウガク</t>
    </rPh>
    <phoneticPr fontId="2"/>
  </si>
  <si>
    <t>2.3 維持管理運営費用（年額）</t>
    <rPh sb="4" eb="8">
      <t>イジカンリ</t>
    </rPh>
    <rPh sb="8" eb="12">
      <t>ウンエイヒヨウ</t>
    </rPh>
    <rPh sb="13" eb="15">
      <t>ネンガク</t>
    </rPh>
    <phoneticPr fontId="2"/>
  </si>
  <si>
    <t>2.2 サービス購入費（完工後支払）割賦金利（％）</t>
    <rPh sb="8" eb="11">
      <t>コウニュウヒ</t>
    </rPh>
    <rPh sb="12" eb="15">
      <t>カンコウゴ</t>
    </rPh>
    <rPh sb="15" eb="17">
      <t>シハライ</t>
    </rPh>
    <rPh sb="18" eb="22">
      <t>カップキンリ</t>
    </rPh>
    <phoneticPr fontId="2"/>
  </si>
  <si>
    <t>2.1 施設整備費用</t>
    <rPh sb="4" eb="6">
      <t>シセツ</t>
    </rPh>
    <rPh sb="6" eb="10">
      <t>セイビヒヨウ</t>
    </rPh>
    <phoneticPr fontId="2"/>
  </si>
  <si>
    <t>うち、PSCの予定価格を反映</t>
    <rPh sb="7" eb="9">
      <t>ヨテイ</t>
    </rPh>
    <rPh sb="9" eb="11">
      <t>カカク</t>
    </rPh>
    <rPh sb="12" eb="14">
      <t>ハンエイ</t>
    </rPh>
    <phoneticPr fontId="2"/>
  </si>
  <si>
    <t>5.1SPC設立費用</t>
    <rPh sb="6" eb="10">
      <t>セツリツヒヨウ</t>
    </rPh>
    <phoneticPr fontId="2"/>
  </si>
  <si>
    <t>特例等、税制に応じて入力（施設整備額はP26セル）</t>
    <rPh sb="0" eb="2">
      <t>トクレイ</t>
    </rPh>
    <rPh sb="2" eb="3">
      <t>トウ</t>
    </rPh>
    <rPh sb="4" eb="6">
      <t>ゼイセイ</t>
    </rPh>
    <rPh sb="7" eb="8">
      <t>オウ</t>
    </rPh>
    <rPh sb="10" eb="12">
      <t>ニュウリョク</t>
    </rPh>
    <rPh sb="13" eb="18">
      <t>シセツセイビガク</t>
    </rPh>
    <phoneticPr fontId="2"/>
  </si>
  <si>
    <t>税制に応じて入力（施設整備額はP26セル）</t>
    <rPh sb="0" eb="2">
      <t>ゼイセイ</t>
    </rPh>
    <rPh sb="3" eb="4">
      <t>オウ</t>
    </rPh>
    <rPh sb="6" eb="8">
      <t>ニュウリョク</t>
    </rPh>
    <phoneticPr fontId="2"/>
  </si>
  <si>
    <t>BOT/BOO</t>
    <phoneticPr fontId="2"/>
  </si>
  <si>
    <t>課税標準</t>
    <rPh sb="0" eb="2">
      <t>カゼイ</t>
    </rPh>
    <rPh sb="2" eb="4">
      <t>ヒョウジュン</t>
    </rPh>
    <phoneticPr fontId="2"/>
  </si>
  <si>
    <t>維持管理・運営なし</t>
    <rPh sb="0" eb="4">
      <t>イジカンリ</t>
    </rPh>
    <rPh sb="5" eb="7">
      <t>ウンエイ</t>
    </rPh>
    <phoneticPr fontId="2"/>
  </si>
  <si>
    <t>民間調達なし</t>
    <rPh sb="0" eb="2">
      <t>ミンカン</t>
    </rPh>
    <rPh sb="2" eb="4">
      <t>チョウタツ</t>
    </rPh>
    <phoneticPr fontId="2"/>
  </si>
  <si>
    <t>SPC設立なし</t>
    <rPh sb="3" eb="5">
      <t>セツリツ</t>
    </rPh>
    <phoneticPr fontId="2"/>
  </si>
  <si>
    <t>一括払のみ</t>
    <rPh sb="0" eb="2">
      <t>イッカツ</t>
    </rPh>
    <rPh sb="2" eb="3">
      <t>バライ</t>
    </rPh>
    <phoneticPr fontId="2"/>
  </si>
  <si>
    <t>割賦払なし</t>
    <rPh sb="0" eb="3">
      <t>カップバラ</t>
    </rPh>
    <phoneticPr fontId="2"/>
  </si>
  <si>
    <t>PFIとの差異を設定する必要</t>
    <rPh sb="5" eb="7">
      <t>サイ</t>
    </rPh>
    <rPh sb="8" eb="10">
      <t>セッテイ</t>
    </rPh>
    <rPh sb="12" eb="14">
      <t>ヒツヨウ</t>
    </rPh>
    <phoneticPr fontId="2"/>
  </si>
  <si>
    <t>特例等、税制に応じて入力</t>
    <rPh sb="0" eb="2">
      <t>トクレイ</t>
    </rPh>
    <rPh sb="2" eb="3">
      <t>トウ</t>
    </rPh>
    <rPh sb="4" eb="6">
      <t>ゼイセイ</t>
    </rPh>
    <rPh sb="7" eb="8">
      <t>オウ</t>
    </rPh>
    <rPh sb="10" eb="12">
      <t>ニュウリョク</t>
    </rPh>
    <phoneticPr fontId="2"/>
  </si>
  <si>
    <t>完工時、一括払</t>
  </si>
  <si>
    <t>完工後、割賦払</t>
  </si>
  <si>
    <t>補助金</t>
  </si>
  <si>
    <t>起債発行額（額）</t>
  </si>
  <si>
    <t>起債への交付金（額）</t>
  </si>
  <si>
    <t>起債償還額（年額）</t>
  </si>
  <si>
    <t>サービス購入費から控除</t>
    <rPh sb="4" eb="7">
      <t>コウニュウヒ</t>
    </rPh>
    <rPh sb="9" eb="11">
      <t>コウジョ</t>
    </rPh>
    <phoneticPr fontId="2"/>
  </si>
  <si>
    <t>利用料金収入考慮後の維持管理運営に係るサービス購入費</t>
    <rPh sb="0" eb="6">
      <t>リヨウリョウキンシュウニュウ</t>
    </rPh>
    <rPh sb="6" eb="8">
      <t>コウリョ</t>
    </rPh>
    <rPh sb="8" eb="9">
      <t>ゴ</t>
    </rPh>
    <rPh sb="10" eb="14">
      <t>イジカンリ</t>
    </rPh>
    <rPh sb="14" eb="16">
      <t>ウンエイ</t>
    </rPh>
    <rPh sb="17" eb="18">
      <t>カカ</t>
    </rPh>
    <rPh sb="23" eb="26">
      <t>コウニュウヒ</t>
    </rPh>
    <phoneticPr fontId="2"/>
  </si>
  <si>
    <t>2.6調整項目</t>
    <rPh sb="3" eb="7">
      <t>チョウセイコウモク</t>
    </rPh>
    <phoneticPr fontId="2"/>
  </si>
  <si>
    <t>2.4モニタリングコスト</t>
    <phoneticPr fontId="2"/>
  </si>
  <si>
    <t>2.5 SPC費用、税金等の取扱い</t>
    <rPh sb="7" eb="9">
      <t>ヒヨウ</t>
    </rPh>
    <rPh sb="10" eb="13">
      <t>ゼイキントウ</t>
    </rPh>
    <rPh sb="14" eb="16">
      <t>トリアツカ</t>
    </rPh>
    <phoneticPr fontId="2"/>
  </si>
  <si>
    <t>モニタリングコスト</t>
    <phoneticPr fontId="2"/>
  </si>
  <si>
    <t>施設整備費</t>
    <rPh sb="0" eb="5">
      <t>シセツセイビヒ</t>
    </rPh>
    <phoneticPr fontId="2"/>
  </si>
  <si>
    <t>過去の落札価格等に基づく積算額</t>
    <rPh sb="0" eb="2">
      <t>カコ</t>
    </rPh>
    <rPh sb="3" eb="5">
      <t>ラクサツ</t>
    </rPh>
    <rPh sb="5" eb="7">
      <t>カカク</t>
    </rPh>
    <rPh sb="7" eb="8">
      <t>トウ</t>
    </rPh>
    <rPh sb="9" eb="10">
      <t>モト</t>
    </rPh>
    <rPh sb="12" eb="15">
      <t>セキサンガク</t>
    </rPh>
    <phoneticPr fontId="2"/>
  </si>
  <si>
    <t>予算単価に基づく積算額</t>
    <rPh sb="0" eb="4">
      <t>ヨサンタンカ</t>
    </rPh>
    <rPh sb="5" eb="6">
      <t>モト</t>
    </rPh>
    <rPh sb="8" eb="11">
      <t>セキサンガク</t>
    </rPh>
    <phoneticPr fontId="2"/>
  </si>
  <si>
    <t>加重平均物価上昇率</t>
    <rPh sb="0" eb="4">
      <t>カジュウヘイキン</t>
    </rPh>
    <rPh sb="4" eb="9">
      <t>ブッカジョウショウリツ</t>
    </rPh>
    <phoneticPr fontId="2"/>
  </si>
  <si>
    <t>2.5 SPC費用、税金等</t>
    <rPh sb="7" eb="9">
      <t>ヒヨウ</t>
    </rPh>
    <rPh sb="10" eb="13">
      <t>ゼイキントウ</t>
    </rPh>
    <phoneticPr fontId="2"/>
  </si>
  <si>
    <t>■事業費内訳入力（削減率・物価上昇率込み）</t>
    <rPh sb="1" eb="4">
      <t>ジギョウヒ</t>
    </rPh>
    <rPh sb="4" eb="6">
      <t>ウチワケ</t>
    </rPh>
    <rPh sb="6" eb="8">
      <t>ニュウリョク</t>
    </rPh>
    <rPh sb="9" eb="12">
      <t>サクゲンリツ</t>
    </rPh>
    <rPh sb="13" eb="18">
      <t>ブッカジョウショウリツ</t>
    </rPh>
    <rPh sb="18" eb="19">
      <t>コ</t>
    </rPh>
    <phoneticPr fontId="2"/>
  </si>
  <si>
    <t>加重平均削減率（PFI以外）</t>
    <rPh sb="0" eb="4">
      <t>カジュウヘイキン</t>
    </rPh>
    <rPh sb="4" eb="7">
      <t>サクゲンリツ</t>
    </rPh>
    <rPh sb="11" eb="13">
      <t>イガイ</t>
    </rPh>
    <phoneticPr fontId="2"/>
  </si>
  <si>
    <t>加重平均削減率（PFI）</t>
    <rPh sb="0" eb="4">
      <t>カジュウヘイキン</t>
    </rPh>
    <rPh sb="4" eb="7">
      <t>サクゲンリツ</t>
    </rPh>
    <phoneticPr fontId="2"/>
  </si>
  <si>
    <t>維持管理運営費（年額）</t>
    <rPh sb="0" eb="4">
      <t>イジカンリ</t>
    </rPh>
    <rPh sb="4" eb="7">
      <t>ウンエイヒ</t>
    </rPh>
    <rPh sb="8" eb="10">
      <t>ネンガク</t>
    </rPh>
    <phoneticPr fontId="2"/>
  </si>
  <si>
    <t>人件費</t>
    <rPh sb="0" eb="3">
      <t>ジンケンヒ</t>
    </rPh>
    <phoneticPr fontId="2"/>
  </si>
  <si>
    <t>修繕費</t>
    <rPh sb="0" eb="3">
      <t>シュウゼンヒ</t>
    </rPh>
    <phoneticPr fontId="2"/>
  </si>
  <si>
    <t>動力費</t>
    <rPh sb="0" eb="3">
      <t>ドウリョクヒ</t>
    </rPh>
    <phoneticPr fontId="2"/>
  </si>
  <si>
    <t>任意入力項目①</t>
    <rPh sb="0" eb="2">
      <t>ニンイ</t>
    </rPh>
    <rPh sb="2" eb="4">
      <t>ニュウリョク</t>
    </rPh>
    <rPh sb="4" eb="6">
      <t>コウモク</t>
    </rPh>
    <phoneticPr fontId="2"/>
  </si>
  <si>
    <t>*1</t>
    <phoneticPr fontId="2"/>
  </si>
  <si>
    <t>*1　PSCは競争の効果を反映、PFI-LCCは民間実施による削減率を織り込み</t>
    <rPh sb="7" eb="9">
      <t>キョウソウ</t>
    </rPh>
    <rPh sb="10" eb="12">
      <t>コウカ</t>
    </rPh>
    <rPh sb="13" eb="15">
      <t>ハンエイ</t>
    </rPh>
    <rPh sb="24" eb="26">
      <t>ミンカン</t>
    </rPh>
    <rPh sb="26" eb="28">
      <t>ジッシ</t>
    </rPh>
    <rPh sb="31" eb="34">
      <t>サクゲンリツ</t>
    </rPh>
    <rPh sb="35" eb="36">
      <t>オ</t>
    </rPh>
    <rPh sb="37" eb="38">
      <t>コ</t>
    </rPh>
    <phoneticPr fontId="2"/>
  </si>
  <si>
    <t>VFMの算定結果</t>
    <rPh sb="4" eb="8">
      <t>サンテイケッカ</t>
    </rPh>
    <phoneticPr fontId="2"/>
  </si>
  <si>
    <t>任意入力項目②</t>
    <rPh sb="0" eb="2">
      <t>ニンイ</t>
    </rPh>
    <rPh sb="2" eb="4">
      <t>ニュウリョク</t>
    </rPh>
    <rPh sb="4" eb="6">
      <t>コウモク</t>
    </rPh>
    <phoneticPr fontId="2"/>
  </si>
  <si>
    <t>削減率（DB/DBO）</t>
    <rPh sb="0" eb="3">
      <t>サクゲンリツ</t>
    </rPh>
    <phoneticPr fontId="2"/>
  </si>
  <si>
    <t>削減率（BT/BTO/BOO/BOT)）</t>
    <rPh sb="0" eb="3">
      <t>サクゲンリツ</t>
    </rPh>
    <phoneticPr fontId="2"/>
  </si>
  <si>
    <t>内、過去の落札価格等に基づく積算額</t>
    <rPh sb="0" eb="1">
      <t>ウチ</t>
    </rPh>
    <rPh sb="2" eb="4">
      <t>カコ</t>
    </rPh>
    <rPh sb="5" eb="7">
      <t>ラクサツ</t>
    </rPh>
    <rPh sb="7" eb="9">
      <t>カカク</t>
    </rPh>
    <rPh sb="9" eb="10">
      <t>トウ</t>
    </rPh>
    <rPh sb="11" eb="12">
      <t>モト</t>
    </rPh>
    <rPh sb="14" eb="17">
      <t>セキサンガク</t>
    </rPh>
    <phoneticPr fontId="2"/>
  </si>
  <si>
    <t>内、予算単価に基づく積算額</t>
    <rPh sb="0" eb="1">
      <t>ウチ</t>
    </rPh>
    <rPh sb="2" eb="6">
      <t>ヨサンタンカ</t>
    </rPh>
    <rPh sb="7" eb="8">
      <t>モト</t>
    </rPh>
    <rPh sb="10" eb="13">
      <t>セキサンガク</t>
    </rPh>
    <phoneticPr fontId="2"/>
  </si>
  <si>
    <t>施設整備費に係る削減率</t>
    <rPh sb="0" eb="2">
      <t>シセツ</t>
    </rPh>
    <rPh sb="2" eb="5">
      <t>セイビヒ</t>
    </rPh>
    <rPh sb="6" eb="7">
      <t>カカ</t>
    </rPh>
    <rPh sb="8" eb="11">
      <t>サクゲンリツ</t>
    </rPh>
    <phoneticPr fontId="2"/>
  </si>
  <si>
    <t>維持管理運営費に係る削減率</t>
    <rPh sb="0" eb="2">
      <t>イジ</t>
    </rPh>
    <rPh sb="2" eb="4">
      <t>カンリ</t>
    </rPh>
    <rPh sb="4" eb="7">
      <t>ウンエイヒ</t>
    </rPh>
    <rPh sb="8" eb="9">
      <t>カカ</t>
    </rPh>
    <rPh sb="10" eb="13">
      <t>サクゲンリツ</t>
    </rPh>
    <phoneticPr fontId="2"/>
  </si>
  <si>
    <t>整備期間中</t>
    <rPh sb="0" eb="5">
      <t>セイビキカンチュウ</t>
    </rPh>
    <phoneticPr fontId="2"/>
  </si>
  <si>
    <t>スケジュール</t>
    <phoneticPr fontId="2"/>
  </si>
  <si>
    <t>割引・リスク調整加算後</t>
    <rPh sb="0" eb="2">
      <t>ワリビキ</t>
    </rPh>
    <rPh sb="6" eb="8">
      <t>チョウセイ</t>
    </rPh>
    <rPh sb="8" eb="10">
      <t>カサン</t>
    </rPh>
    <rPh sb="10" eb="11">
      <t>ゴ</t>
    </rPh>
    <phoneticPr fontId="2"/>
  </si>
  <si>
    <t>税収</t>
    <rPh sb="0" eb="2">
      <t>ゼイシュウ</t>
    </rPh>
    <phoneticPr fontId="2"/>
  </si>
  <si>
    <t>利用料金
収入</t>
    <rPh sb="0" eb="2">
      <t>リヨウ</t>
    </rPh>
    <rPh sb="2" eb="4">
      <t>リョウキン</t>
    </rPh>
    <rPh sb="5" eb="7">
      <t>シュウニュウ</t>
    </rPh>
    <phoneticPr fontId="2"/>
  </si>
  <si>
    <t>施設整備
費用</t>
    <rPh sb="0" eb="2">
      <t>シセツ</t>
    </rPh>
    <rPh sb="2" eb="4">
      <t>セイビ</t>
    </rPh>
    <rPh sb="5" eb="7">
      <t>ヒヨウ</t>
    </rPh>
    <phoneticPr fontId="2"/>
  </si>
  <si>
    <t>維持管理費
サービス対価</t>
    <rPh sb="0" eb="5">
      <t>イジカンリヒ</t>
    </rPh>
    <rPh sb="10" eb="12">
      <t>タイカ</t>
    </rPh>
    <phoneticPr fontId="2"/>
  </si>
  <si>
    <t>SPC費用
サービス対価</t>
    <rPh sb="3" eb="5">
      <t>ヒヨウ</t>
    </rPh>
    <rPh sb="10" eb="12">
      <t>タイカ</t>
    </rPh>
    <phoneticPr fontId="2"/>
  </si>
  <si>
    <t>法人税
・公租公課</t>
    <rPh sb="0" eb="3">
      <t>ホウジンゼイ</t>
    </rPh>
    <rPh sb="5" eb="9">
      <t>コウソコウカ</t>
    </rPh>
    <phoneticPr fontId="2"/>
  </si>
  <si>
    <t>END OF WORKSHEET</t>
    <phoneticPr fontId="2"/>
  </si>
  <si>
    <t>当初費用（アドバイザーフィー等）</t>
    <rPh sb="0" eb="2">
      <t>トウショ</t>
    </rPh>
    <rPh sb="2" eb="4">
      <t>ヒヨウ</t>
    </rPh>
    <rPh sb="14" eb="15">
      <t>トウ</t>
    </rPh>
    <phoneticPr fontId="2"/>
  </si>
  <si>
    <t>期中費用（モニタリングコスト）</t>
    <rPh sb="0" eb="2">
      <t>キチュウ</t>
    </rPh>
    <rPh sb="2" eb="4">
      <t>ヒヨウ</t>
    </rPh>
    <phoneticPr fontId="2"/>
  </si>
  <si>
    <t>2.4その他公共側費用</t>
    <rPh sb="5" eb="6">
      <t>タ</t>
    </rPh>
    <rPh sb="6" eb="9">
      <t>コウキョウガワ</t>
    </rPh>
    <rPh sb="9" eb="11">
      <t>ヒヨウ</t>
    </rPh>
    <phoneticPr fontId="2"/>
  </si>
  <si>
    <t>据置期間</t>
    <rPh sb="0" eb="4">
      <t>スエオキキカン</t>
    </rPh>
    <phoneticPr fontId="2"/>
  </si>
  <si>
    <t>期</t>
    <rPh sb="0" eb="1">
      <t>キ</t>
    </rPh>
    <phoneticPr fontId="2"/>
  </si>
  <si>
    <t>その他費用</t>
    <rPh sb="2" eb="3">
      <t>タ</t>
    </rPh>
    <rPh sb="3" eb="5">
      <t>ヒヨウ</t>
    </rPh>
    <phoneticPr fontId="2"/>
  </si>
  <si>
    <t>償還開始時期（第●期）</t>
    <rPh sb="0" eb="4">
      <t>ショウカンカイシ</t>
    </rPh>
    <rPh sb="4" eb="6">
      <t>ジキ</t>
    </rPh>
    <rPh sb="7" eb="8">
      <t>ダイ</t>
    </rPh>
    <rPh sb="9" eb="10">
      <t>キ</t>
    </rPh>
    <phoneticPr fontId="2"/>
  </si>
  <si>
    <t>他セルからの参照（入力不要）</t>
    <rPh sb="0" eb="1">
      <t>ホカ</t>
    </rPh>
    <rPh sb="6" eb="8">
      <t>サンショウ</t>
    </rPh>
    <rPh sb="9" eb="13">
      <t>ニュウリョクフヨウ</t>
    </rPh>
    <phoneticPr fontId="2"/>
  </si>
  <si>
    <t>デフォルト値</t>
    <rPh sb="5" eb="6">
      <t>アタイ</t>
    </rPh>
    <phoneticPr fontId="2"/>
  </si>
  <si>
    <t>入力箇所の説明</t>
    <rPh sb="0" eb="2">
      <t>ニュウリョク</t>
    </rPh>
    <rPh sb="2" eb="4">
      <t>カショ</t>
    </rPh>
    <rPh sb="5" eb="7">
      <t>セツメイ</t>
    </rPh>
    <phoneticPr fontId="2"/>
  </si>
  <si>
    <t>入力セル（手入力/プルダウンから選択）</t>
    <rPh sb="0" eb="2">
      <t>ニュウリョク</t>
    </rPh>
    <rPh sb="5" eb="8">
      <t>テニュウリョク</t>
    </rPh>
    <rPh sb="16" eb="18">
      <t>センタク</t>
    </rPh>
    <phoneticPr fontId="2"/>
  </si>
  <si>
    <t>公共の調達金利（地方債）</t>
    <rPh sb="0" eb="2">
      <t>コウキョウ</t>
    </rPh>
    <rPh sb="3" eb="5">
      <t>チョウタツ</t>
    </rPh>
    <rPh sb="5" eb="7">
      <t>キンリ</t>
    </rPh>
    <rPh sb="8" eb="11">
      <t>チホウサイ</t>
    </rPh>
    <phoneticPr fontId="2"/>
  </si>
  <si>
    <t>※費用は全て消費税抜で入力する</t>
    <rPh sb="1" eb="3">
      <t>ヒヨウ</t>
    </rPh>
    <rPh sb="4" eb="5">
      <t>スベ</t>
    </rPh>
    <rPh sb="6" eb="9">
      <t>ショウヒゼイ</t>
    </rPh>
    <rPh sb="9" eb="10">
      <t>ヌ</t>
    </rPh>
    <rPh sb="11" eb="13">
      <t>ニュウリョク</t>
    </rPh>
    <phoneticPr fontId="2"/>
  </si>
  <si>
    <t>※収入・費用は全て消費税抜で入力する</t>
    <rPh sb="1" eb="3">
      <t>シュウニュウ</t>
    </rPh>
    <rPh sb="4" eb="6">
      <t>ヒヨウ</t>
    </rPh>
    <rPh sb="7" eb="8">
      <t>スベ</t>
    </rPh>
    <rPh sb="9" eb="12">
      <t>ショウヒゼイ</t>
    </rPh>
    <rPh sb="12" eb="13">
      <t>ヌ</t>
    </rPh>
    <rPh sb="14" eb="16">
      <t>ニュウリョク</t>
    </rPh>
    <phoneticPr fontId="2"/>
  </si>
  <si>
    <t>6.1SPC設立費用</t>
    <rPh sb="6" eb="10">
      <t>セツリツヒヨウ</t>
    </rPh>
    <phoneticPr fontId="2"/>
  </si>
  <si>
    <t>6.2SPC経費</t>
    <rPh sb="6" eb="8">
      <t>ケイヒ</t>
    </rPh>
    <phoneticPr fontId="2"/>
  </si>
  <si>
    <t>6.3SPC予備費</t>
    <rPh sb="6" eb="9">
      <t>ヨビヒ</t>
    </rPh>
    <phoneticPr fontId="2"/>
  </si>
  <si>
    <t>6.4官民での利払い費用の差</t>
    <rPh sb="3" eb="5">
      <t>カンミン</t>
    </rPh>
    <rPh sb="7" eb="9">
      <t>リバラ</t>
    </rPh>
    <rPh sb="10" eb="12">
      <t>ヒヨウ</t>
    </rPh>
    <rPh sb="13" eb="14">
      <t>サ</t>
    </rPh>
    <phoneticPr fontId="2"/>
  </si>
  <si>
    <t>官民利払費用の差</t>
    <rPh sb="0" eb="4">
      <t>カンミンリバラ</t>
    </rPh>
    <rPh sb="4" eb="6">
      <t>ヒヨウ</t>
    </rPh>
    <rPh sb="7" eb="8">
      <t>サ</t>
    </rPh>
    <phoneticPr fontId="2"/>
  </si>
  <si>
    <t>DB</t>
  </si>
  <si>
    <t>支払利息</t>
  </si>
  <si>
    <t>Checks</t>
  </si>
  <si>
    <t>割賦収入＞SPC支払</t>
  </si>
  <si>
    <t>*割賦払の基準金利をデフォルト値として参照</t>
    <rPh sb="1" eb="3">
      <t>カップ</t>
    </rPh>
    <rPh sb="3" eb="4">
      <t>ハラ</t>
    </rPh>
    <rPh sb="5" eb="9">
      <t>キジュンキンリ</t>
    </rPh>
    <rPh sb="15" eb="16">
      <t>アタイ</t>
    </rPh>
    <rPh sb="19" eb="21">
      <t>サンショウ</t>
    </rPh>
    <phoneticPr fontId="2"/>
  </si>
  <si>
    <t>SPC当初費用
(設立費用・予備費)
費用</t>
    <rPh sb="3" eb="5">
      <t>トウショ</t>
    </rPh>
    <rPh sb="5" eb="7">
      <t>ヒヨウ</t>
    </rPh>
    <rPh sb="9" eb="13">
      <t>セツリツヒヨウ</t>
    </rPh>
    <rPh sb="14" eb="17">
      <t>ヨビヒ</t>
    </rPh>
    <rPh sb="19" eb="21">
      <t>ヒヨウ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</si>
</sst>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76" formatCode="#,##0_);[Red]\(#,##0\);\-_)"/>
    <numFmt numFmtId="177" formatCode="0.0%"/>
    <numFmt numFmtId="178" formatCode="#,##0.0_);[Red]\(#,##0.0\);\-_)"/>
    <numFmt numFmtId="179" formatCode="0.000%"/>
    <numFmt numFmtId="180" formatCode="#,##0.0;[Red]\-#,##0.0"/>
    <numFmt numFmtId="181" formatCode="#,##0.0"/>
    <numFmt numFmtId="182" formatCode="[Magenta]&quot;Warning&quot;;[Magenta]&quot;Warning&quot;;[Blue]&quot;OK&quot;"/>
    <numFmt numFmtId="183" formatCode="0.0000"/>
    <numFmt numFmtId="184" formatCode="0.000000"/>
    <numFmt numFmtId="185" formatCode="#,##0.00_);[Red]\(#,##0.00\);\-_)"/>
    <numFmt numFmtId="186" formatCode="#,##0.0;&quot;▲ &quot;#,##0.0"/>
    <numFmt numFmtId="187" formatCode="0.0;&quot;▲ &quot;0.0"/>
    <numFmt numFmtId="188" formatCode="#,##0;&quot;▲ &quot;#,##0"/>
  </numFmts>
  <fonts count="37">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0"/>
      <color rgb="FF0000FF"/>
      <name val="Arial"/>
      <family val="2"/>
    </font>
    <font>
      <sz val="10"/>
      <color indexed="12"/>
      <name val="Arial"/>
      <family val="2"/>
    </font>
    <font>
      <b/>
      <sz val="11"/>
      <color theme="1"/>
      <name val="游ゴシック"/>
      <family val="3"/>
      <charset val="128"/>
      <scheme val="minor"/>
    </font>
    <font>
      <sz val="11"/>
      <color theme="1"/>
      <name val="游ゴシック"/>
      <family val="3"/>
      <charset val="128"/>
      <scheme val="minor"/>
    </font>
    <font>
      <sz val="10"/>
      <color theme="1"/>
      <name val="Arial"/>
      <family val="2"/>
    </font>
    <font>
      <b/>
      <sz val="11"/>
      <color theme="0"/>
      <name val="游ゴシック"/>
      <family val="3"/>
      <charset val="128"/>
      <scheme val="minor"/>
    </font>
    <font>
      <sz val="9"/>
      <color theme="1"/>
      <name val="Calibri"/>
      <family val="2"/>
    </font>
    <font>
      <sz val="9"/>
      <color theme="1"/>
      <name val="ＭＳ Ｐゴシック"/>
      <family val="2"/>
      <charset val="128"/>
    </font>
    <font>
      <sz val="11"/>
      <color rgb="FFFF0000"/>
      <name val="游ゴシック"/>
      <family val="2"/>
      <charset val="128"/>
      <scheme val="minor"/>
    </font>
    <font>
      <b/>
      <sz val="8"/>
      <color indexed="12"/>
      <name val="Arial"/>
      <family val="2"/>
    </font>
    <font>
      <sz val="12"/>
      <color theme="1"/>
      <name val="游ゴシック"/>
      <family val="3"/>
      <charset val="128"/>
      <scheme val="minor"/>
    </font>
    <font>
      <b/>
      <sz val="12"/>
      <color theme="1"/>
      <name val="游ゴシック"/>
      <family val="3"/>
      <charset val="128"/>
      <scheme val="minor"/>
    </font>
    <font>
      <b/>
      <sz val="12"/>
      <color theme="0"/>
      <name val="游ゴシック"/>
      <family val="3"/>
      <charset val="128"/>
      <scheme val="minor"/>
    </font>
    <font>
      <b/>
      <sz val="20"/>
      <color theme="1"/>
      <name val="游ゴシック"/>
      <family val="3"/>
      <charset val="128"/>
      <scheme val="minor"/>
    </font>
    <font>
      <b/>
      <sz val="20"/>
      <color theme="0"/>
      <name val="游ゴシック"/>
      <family val="3"/>
      <charset val="128"/>
      <scheme val="minor"/>
    </font>
    <font>
      <b/>
      <sz val="8"/>
      <color rgb="FF0070C0"/>
      <name val="Arial"/>
      <family val="2"/>
    </font>
    <font>
      <b/>
      <sz val="11"/>
      <color rgb="FF0070C0"/>
      <name val="游ゴシック"/>
      <family val="2"/>
      <charset val="128"/>
      <scheme val="minor"/>
    </font>
    <font>
      <b/>
      <sz val="11"/>
      <color rgb="FF3333FF"/>
      <name val="游ゴシック"/>
      <family val="2"/>
      <charset val="128"/>
      <scheme val="minor"/>
    </font>
    <font>
      <b/>
      <sz val="11"/>
      <color rgb="FFFF0000"/>
      <name val="游ゴシック"/>
      <family val="3"/>
      <charset val="128"/>
      <scheme val="minor"/>
    </font>
    <font>
      <sz val="11"/>
      <color rgb="FFFF0000"/>
      <name val="游ゴシック"/>
      <family val="3"/>
      <charset val="128"/>
      <scheme val="minor"/>
    </font>
    <font>
      <sz val="10"/>
      <color theme="1"/>
      <name val="游ゴシック"/>
      <family val="2"/>
      <charset val="128"/>
      <scheme val="minor"/>
    </font>
    <font>
      <b/>
      <sz val="10"/>
      <color theme="1"/>
      <name val="游ゴシック"/>
      <family val="3"/>
      <charset val="128"/>
      <scheme val="minor"/>
    </font>
    <font>
      <sz val="10"/>
      <color theme="1"/>
      <name val="游ゴシック"/>
      <family val="3"/>
      <charset val="128"/>
      <scheme val="minor"/>
    </font>
    <font>
      <sz val="10"/>
      <color rgb="FFFF0000"/>
      <name val="游ゴシック"/>
      <family val="3"/>
      <charset val="128"/>
      <scheme val="minor"/>
    </font>
    <font>
      <sz val="10"/>
      <name val="Arial"/>
      <family val="2"/>
    </font>
    <font>
      <sz val="12"/>
      <color rgb="FFFF0000"/>
      <name val="游ゴシック"/>
      <family val="3"/>
      <charset val="128"/>
      <scheme val="minor"/>
    </font>
    <font>
      <sz val="12"/>
      <color rgb="FF0000FF"/>
      <name val="游ゴシック"/>
      <family val="3"/>
      <charset val="128"/>
      <scheme val="minor"/>
    </font>
    <font>
      <sz val="12"/>
      <name val="游ゴシック"/>
      <family val="3"/>
      <charset val="128"/>
      <scheme val="minor"/>
    </font>
    <font>
      <b/>
      <sz val="15"/>
      <color theme="3"/>
      <name val="游ゴシック"/>
      <family val="2"/>
      <charset val="128"/>
      <scheme val="minor"/>
    </font>
    <font>
      <b/>
      <sz val="12"/>
      <color theme="0"/>
      <name val="Calibri Light"/>
      <family val="2"/>
    </font>
    <font>
      <b/>
      <i/>
      <sz val="8"/>
      <color theme="0"/>
      <name val="Calibri Light"/>
      <family val="2"/>
    </font>
    <font>
      <b/>
      <sz val="10"/>
      <color rgb="FFFF0000"/>
      <name val="游ゴシック"/>
      <family val="3"/>
      <charset val="128"/>
      <scheme val="minor"/>
    </font>
    <font>
      <sz val="11"/>
      <name val="游ゴシック"/>
      <family val="2"/>
      <charset val="128"/>
      <scheme val="minor"/>
    </font>
    <font>
      <sz val="11"/>
      <name val="游ゴシック"/>
      <family val="3"/>
      <charset val="128"/>
      <scheme val="minor"/>
    </font>
  </fonts>
  <fills count="14">
    <fill>
      <patternFill patternType="none"/>
    </fill>
    <fill>
      <patternFill patternType="gray125"/>
    </fill>
    <fill>
      <patternFill patternType="solid">
        <fgColor rgb="FFFFFF99"/>
        <bgColor indexed="64"/>
      </patternFill>
    </fill>
    <fill>
      <patternFill patternType="solid">
        <fgColor indexed="43"/>
      </patternFill>
    </fill>
    <fill>
      <patternFill patternType="solid">
        <fgColor theme="9" tint="0.79998168889431442"/>
        <bgColor indexed="64"/>
      </patternFill>
    </fill>
    <fill>
      <patternFill patternType="solid">
        <fgColor rgb="FF92D05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
      <patternFill patternType="solid">
        <fgColor theme="4" tint="-0.499984740745262"/>
        <bgColor indexed="64"/>
      </patternFill>
    </fill>
    <fill>
      <patternFill patternType="solid">
        <fgColor theme="0"/>
        <bgColor indexed="64"/>
      </patternFill>
    </fill>
    <fill>
      <patternFill patternType="solid">
        <fgColor theme="8" tint="0.39997558519241921"/>
        <bgColor indexed="64"/>
      </patternFill>
    </fill>
  </fills>
  <borders count="48">
    <border>
      <left/>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right/>
      <top/>
      <bottom style="hair">
        <color auto="1"/>
      </bottom>
      <diagonal/>
    </border>
    <border>
      <left/>
      <right/>
      <top style="hair">
        <color auto="1"/>
      </top>
      <bottom style="hair">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right/>
      <top/>
      <bottom style="medium">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bottom style="hair">
        <color indexed="64"/>
      </bottom>
      <diagonal style="hair">
        <color indexed="64"/>
      </diagonal>
    </border>
    <border>
      <left style="hair">
        <color auto="1"/>
      </left>
      <right/>
      <top/>
      <bottom style="hair">
        <color auto="1"/>
      </bottom>
      <diagonal/>
    </border>
    <border>
      <left style="hair">
        <color auto="1"/>
      </left>
      <right/>
      <top/>
      <bottom/>
      <diagonal/>
    </border>
    <border>
      <left style="hair">
        <color auto="1"/>
      </left>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indexed="64"/>
      </left>
      <right style="medium">
        <color indexed="64"/>
      </right>
      <top style="medium">
        <color indexed="64"/>
      </top>
      <bottom style="medium">
        <color indexed="64"/>
      </bottom>
      <diagonal/>
    </border>
    <border diagonalUp="1">
      <left/>
      <right/>
      <top style="hair">
        <color auto="1"/>
      </top>
      <bottom style="hair">
        <color auto="1"/>
      </bottom>
      <diagonal style="hair">
        <color auto="1"/>
      </diagonal>
    </border>
    <border diagonalUp="1">
      <left style="hair">
        <color auto="1"/>
      </left>
      <right/>
      <top style="hair">
        <color auto="1"/>
      </top>
      <bottom style="hair">
        <color auto="1"/>
      </bottom>
      <diagonal style="hair">
        <color auto="1"/>
      </diagonal>
    </border>
    <border diagonalUp="1">
      <left/>
      <right style="hair">
        <color auto="1"/>
      </right>
      <top style="hair">
        <color auto="1"/>
      </top>
      <bottom style="hair">
        <color auto="1"/>
      </bottom>
      <diagonal style="hair">
        <color auto="1"/>
      </diagonal>
    </border>
    <border diagonalUp="1">
      <left style="hair">
        <color indexed="64"/>
      </left>
      <right style="hair">
        <color indexed="64"/>
      </right>
      <top style="hair">
        <color indexed="64"/>
      </top>
      <bottom/>
      <diagonal style="hair">
        <color indexed="64"/>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diagonalUp="1">
      <left style="hair">
        <color indexed="64"/>
      </left>
      <right style="hair">
        <color indexed="64"/>
      </right>
      <top style="medium">
        <color indexed="64"/>
      </top>
      <bottom style="medium">
        <color indexed="64"/>
      </bottom>
      <diagonal style="hair">
        <color indexed="64"/>
      </diagonal>
    </border>
    <border diagonalUp="1">
      <left style="hair">
        <color indexed="64"/>
      </left>
      <right style="hair">
        <color indexed="64"/>
      </right>
      <top/>
      <bottom/>
      <diagonal style="hair">
        <color indexed="64"/>
      </diagonal>
    </border>
    <border>
      <left style="hair">
        <color auto="1"/>
      </left>
      <right style="hair">
        <color auto="1"/>
      </right>
      <top style="medium">
        <color indexed="64"/>
      </top>
      <bottom style="hair">
        <color auto="1"/>
      </bottom>
      <diagonal/>
    </border>
    <border>
      <left style="hair">
        <color auto="1"/>
      </left>
      <right style="hair">
        <color auto="1"/>
      </right>
      <top style="hair">
        <color auto="1"/>
      </top>
      <bottom style="medium">
        <color indexed="64"/>
      </bottom>
      <diagonal/>
    </border>
    <border>
      <left/>
      <right/>
      <top style="double">
        <color auto="1"/>
      </top>
      <bottom/>
      <diagonal/>
    </border>
    <border diagonalUp="1">
      <left style="medium">
        <color indexed="64"/>
      </left>
      <right style="hair">
        <color indexed="64"/>
      </right>
      <top style="medium">
        <color indexed="64"/>
      </top>
      <bottom style="medium">
        <color indexed="64"/>
      </bottom>
      <diagonal style="hair">
        <color indexed="64"/>
      </diagonal>
    </border>
    <border>
      <left style="medium">
        <color indexed="64"/>
      </left>
      <right style="hair">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hair">
        <color indexed="64"/>
      </left>
      <right style="hair">
        <color indexed="64"/>
      </right>
      <top style="double">
        <color auto="1"/>
      </top>
      <bottom style="hair">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s>
  <cellStyleXfs count="6">
    <xf numFmtId="0" fontId="0" fillId="0" borderId="0">
      <alignment vertical="center"/>
    </xf>
    <xf numFmtId="9" fontId="1" fillId="0" borderId="0" applyFont="0" applyFill="0" applyBorder="0" applyAlignment="0" applyProtection="0">
      <alignment vertical="center"/>
    </xf>
    <xf numFmtId="176" fontId="4" fillId="3" borderId="2" applyAlignment="0">
      <protection locked="0"/>
    </xf>
    <xf numFmtId="38" fontId="1" fillId="0" borderId="0" applyFont="0" applyFill="0" applyBorder="0" applyAlignment="0" applyProtection="0">
      <alignment vertical="center"/>
    </xf>
    <xf numFmtId="182" fontId="12" fillId="0" borderId="0" applyFill="0" applyBorder="0"/>
    <xf numFmtId="0" fontId="31" fillId="0" borderId="47" applyNumberFormat="0" applyFill="0" applyAlignment="0" applyProtection="0">
      <alignment vertical="center"/>
    </xf>
  </cellStyleXfs>
  <cellXfs count="302">
    <xf numFmtId="0" fontId="0" fillId="0" borderId="0" xfId="0">
      <alignment vertical="center"/>
    </xf>
    <xf numFmtId="176" fontId="3" fillId="3" borderId="2" xfId="2" applyFont="1">
      <protection locked="0"/>
    </xf>
    <xf numFmtId="0" fontId="0" fillId="0" borderId="0" xfId="0" applyAlignment="1">
      <alignment horizontal="right" vertical="center"/>
    </xf>
    <xf numFmtId="9" fontId="3" fillId="2" borderId="2" xfId="1" applyFont="1" applyFill="1" applyBorder="1" applyAlignment="1"/>
    <xf numFmtId="0" fontId="5" fillId="0" borderId="0" xfId="0" applyFont="1">
      <alignment vertical="center"/>
    </xf>
    <xf numFmtId="0" fontId="5" fillId="0" borderId="0" xfId="0" applyFont="1" applyAlignment="1">
      <alignment horizontal="center" vertical="center"/>
    </xf>
    <xf numFmtId="0" fontId="5" fillId="0" borderId="3" xfId="0" applyFont="1" applyBorder="1">
      <alignment vertical="center"/>
    </xf>
    <xf numFmtId="0" fontId="5" fillId="0" borderId="4" xfId="0" applyFont="1" applyBorder="1">
      <alignment vertical="center"/>
    </xf>
    <xf numFmtId="0" fontId="5" fillId="7" borderId="0" xfId="0" applyFont="1" applyFill="1" applyAlignment="1">
      <alignment horizontal="center" vertical="center"/>
    </xf>
    <xf numFmtId="0" fontId="5" fillId="7" borderId="5"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5" fillId="5" borderId="13" xfId="0" applyFont="1" applyFill="1" applyBorder="1" applyAlignment="1">
      <alignment horizontal="center" vertical="center"/>
    </xf>
    <xf numFmtId="9" fontId="0" fillId="0" borderId="0" xfId="0" applyNumberFormat="1">
      <alignment vertical="center"/>
    </xf>
    <xf numFmtId="177" fontId="3" fillId="2" borderId="2" xfId="1" applyNumberFormat="1" applyFont="1" applyFill="1" applyBorder="1" applyAlignment="1"/>
    <xf numFmtId="10" fontId="3" fillId="2" borderId="2" xfId="1" applyNumberFormat="1" applyFont="1" applyFill="1" applyBorder="1" applyAlignment="1"/>
    <xf numFmtId="177" fontId="3" fillId="2" borderId="1" xfId="1" applyNumberFormat="1" applyFont="1" applyFill="1" applyBorder="1" applyAlignment="1"/>
    <xf numFmtId="10" fontId="3" fillId="2" borderId="14" xfId="1" applyNumberFormat="1" applyFont="1" applyFill="1" applyBorder="1" applyAlignment="1"/>
    <xf numFmtId="177" fontId="3" fillId="2" borderId="15" xfId="1" applyNumberFormat="1" applyFont="1" applyFill="1" applyBorder="1" applyAlignment="1"/>
    <xf numFmtId="0" fontId="0" fillId="0" borderId="0" xfId="0" applyAlignment="1">
      <alignment horizontal="center" vertical="center"/>
    </xf>
    <xf numFmtId="176" fontId="0" fillId="0" borderId="2" xfId="0" applyNumberFormat="1" applyBorder="1">
      <alignment vertical="center"/>
    </xf>
    <xf numFmtId="178" fontId="0" fillId="0" borderId="2" xfId="0" applyNumberFormat="1" applyBorder="1">
      <alignment vertical="center"/>
    </xf>
    <xf numFmtId="0" fontId="5" fillId="8" borderId="0" xfId="0" applyFont="1" applyFill="1">
      <alignment vertical="center"/>
    </xf>
    <xf numFmtId="0" fontId="5" fillId="8" borderId="0" xfId="0" applyFont="1" applyFill="1" applyAlignment="1">
      <alignment horizontal="center" vertical="center"/>
    </xf>
    <xf numFmtId="0" fontId="5" fillId="9" borderId="0" xfId="0" applyFont="1" applyFill="1">
      <alignment vertical="center"/>
    </xf>
    <xf numFmtId="0" fontId="8" fillId="10" borderId="0" xfId="0" applyFont="1" applyFill="1">
      <alignment vertical="center"/>
    </xf>
    <xf numFmtId="0" fontId="5" fillId="0" borderId="4" xfId="0" applyFont="1" applyBorder="1" applyAlignment="1">
      <alignment horizontal="right" vertical="center"/>
    </xf>
    <xf numFmtId="0" fontId="9" fillId="0" borderId="0" xfId="0" applyFont="1">
      <alignment vertical="center"/>
    </xf>
    <xf numFmtId="0" fontId="10" fillId="0" borderId="0" xfId="0" applyFont="1">
      <alignment vertical="center"/>
    </xf>
    <xf numFmtId="176" fontId="3" fillId="3" borderId="2" xfId="2" applyFont="1" applyAlignment="1">
      <alignment horizontal="right"/>
      <protection locked="0"/>
    </xf>
    <xf numFmtId="180" fontId="5" fillId="8" borderId="0" xfId="3" applyNumberFormat="1" applyFont="1" applyFill="1" applyAlignment="1">
      <alignment horizontal="center" vertical="center"/>
    </xf>
    <xf numFmtId="180" fontId="0" fillId="0" borderId="0" xfId="3" applyNumberFormat="1"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180" fontId="5" fillId="4" borderId="21" xfId="3" applyNumberFormat="1" applyFont="1" applyFill="1" applyBorder="1" applyAlignment="1">
      <alignment horizontal="center" vertical="center" wrapText="1"/>
    </xf>
    <xf numFmtId="0" fontId="5" fillId="6" borderId="22" xfId="0" applyFont="1" applyFill="1" applyBorder="1" applyAlignment="1">
      <alignment horizontal="center" vertical="center" wrapText="1"/>
    </xf>
    <xf numFmtId="10" fontId="0" fillId="0" borderId="2" xfId="0" applyNumberFormat="1" applyBorder="1">
      <alignment vertical="center"/>
    </xf>
    <xf numFmtId="0" fontId="5" fillId="7" borderId="3"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23" xfId="0" applyFont="1" applyFill="1" applyBorder="1" applyAlignment="1">
      <alignment horizontal="center" vertical="center" wrapText="1"/>
    </xf>
    <xf numFmtId="180" fontId="5" fillId="4" borderId="23" xfId="3" applyNumberFormat="1"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181" fontId="0" fillId="0" borderId="0" xfId="3" applyNumberFormat="1" applyFont="1" applyBorder="1" applyAlignment="1">
      <alignment horizontal="center" vertical="center"/>
    </xf>
    <xf numFmtId="181" fontId="0" fillId="0" borderId="0" xfId="3" applyNumberFormat="1" applyFont="1" applyAlignment="1">
      <alignment horizontal="center" vertical="center"/>
    </xf>
    <xf numFmtId="0" fontId="5" fillId="5" borderId="10" xfId="0" applyFont="1" applyFill="1" applyBorder="1" applyAlignment="1">
      <alignment horizontal="center" vertical="center"/>
    </xf>
    <xf numFmtId="180" fontId="0" fillId="0" borderId="2" xfId="3" applyNumberFormat="1" applyFont="1" applyBorder="1">
      <alignment vertical="center"/>
    </xf>
    <xf numFmtId="178" fontId="7" fillId="0" borderId="2" xfId="2" applyNumberFormat="1" applyFont="1" applyFill="1">
      <protection locked="0"/>
    </xf>
    <xf numFmtId="176" fontId="7" fillId="0" borderId="14" xfId="2" applyFont="1" applyFill="1" applyBorder="1">
      <protection locked="0"/>
    </xf>
    <xf numFmtId="179" fontId="3" fillId="2" borderId="2" xfId="1" applyNumberFormat="1" applyFont="1" applyFill="1" applyBorder="1" applyAlignment="1"/>
    <xf numFmtId="0" fontId="5" fillId="5" borderId="10" xfId="0" applyFont="1" applyFill="1" applyBorder="1" applyAlignment="1">
      <alignment horizontal="left" vertical="center" indent="18"/>
    </xf>
    <xf numFmtId="0" fontId="0" fillId="0" borderId="0" xfId="0" applyAlignment="1">
      <alignment horizontal="left" vertical="center"/>
    </xf>
    <xf numFmtId="177" fontId="0" fillId="0" borderId="9" xfId="1" applyNumberFormat="1" applyFont="1" applyBorder="1" applyAlignment="1">
      <alignment horizontal="center" vertical="center"/>
    </xf>
    <xf numFmtId="14" fontId="0" fillId="0" borderId="0" xfId="0" applyNumberFormat="1">
      <alignment vertical="center"/>
    </xf>
    <xf numFmtId="0" fontId="5" fillId="4" borderId="19" xfId="0" applyFont="1" applyFill="1" applyBorder="1" applyAlignment="1">
      <alignment horizontal="centerContinuous" vertical="center" wrapText="1"/>
    </xf>
    <xf numFmtId="0" fontId="5" fillId="4" borderId="20" xfId="0" applyFont="1" applyFill="1" applyBorder="1" applyAlignment="1">
      <alignment horizontal="centerContinuous" vertical="center" wrapText="1"/>
    </xf>
    <xf numFmtId="0" fontId="5" fillId="4" borderId="21" xfId="0" applyFont="1" applyFill="1" applyBorder="1" applyAlignment="1">
      <alignment horizontal="centerContinuous" vertical="center" wrapText="1"/>
    </xf>
    <xf numFmtId="0" fontId="5" fillId="6" borderId="20" xfId="0" applyFont="1" applyFill="1" applyBorder="1" applyAlignment="1">
      <alignment horizontal="centerContinuous" vertical="center" wrapText="1"/>
    </xf>
    <xf numFmtId="0" fontId="5" fillId="6" borderId="19" xfId="0" applyFont="1" applyFill="1" applyBorder="1" applyAlignment="1">
      <alignment horizontal="centerContinuous" vertical="center" wrapText="1"/>
    </xf>
    <xf numFmtId="0" fontId="5" fillId="6" borderId="21" xfId="0" applyFont="1" applyFill="1" applyBorder="1" applyAlignment="1">
      <alignment horizontal="centerContinuous" vertical="center" wrapText="1"/>
    </xf>
    <xf numFmtId="0" fontId="5" fillId="7" borderId="19" xfId="0" applyFont="1" applyFill="1" applyBorder="1" applyAlignment="1">
      <alignment horizontal="centerContinuous" vertical="center" wrapText="1"/>
    </xf>
    <xf numFmtId="0" fontId="5" fillId="7" borderId="20" xfId="0" applyFont="1" applyFill="1" applyBorder="1" applyAlignment="1">
      <alignment horizontal="centerContinuous" vertical="center" wrapText="1"/>
    </xf>
    <xf numFmtId="0" fontId="5" fillId="7" borderId="21" xfId="0" applyFont="1" applyFill="1" applyBorder="1" applyAlignment="1">
      <alignment horizontal="centerContinuous" vertical="center" wrapText="1"/>
    </xf>
    <xf numFmtId="14" fontId="3" fillId="3" borderId="2" xfId="2" applyNumberFormat="1" applyFont="1">
      <protection locked="0"/>
    </xf>
    <xf numFmtId="180" fontId="0" fillId="0" borderId="2" xfId="0" applyNumberFormat="1" applyBorder="1">
      <alignment vertical="center"/>
    </xf>
    <xf numFmtId="179" fontId="0" fillId="0" borderId="2" xfId="0" applyNumberFormat="1" applyBorder="1">
      <alignment vertical="center"/>
    </xf>
    <xf numFmtId="179" fontId="0" fillId="0" borderId="2" xfId="1" applyNumberFormat="1" applyFont="1" applyBorder="1">
      <alignment vertical="center"/>
    </xf>
    <xf numFmtId="0" fontId="11" fillId="0" borderId="0" xfId="0" applyFont="1">
      <alignment vertical="center"/>
    </xf>
    <xf numFmtId="176" fontId="3" fillId="0" borderId="2" xfId="2" applyFont="1" applyFill="1">
      <protection locked="0"/>
    </xf>
    <xf numFmtId="0" fontId="13" fillId="0" borderId="0" xfId="0" applyFont="1">
      <alignment vertical="center"/>
    </xf>
    <xf numFmtId="0" fontId="14" fillId="0" borderId="0" xfId="0" applyFont="1">
      <alignment vertical="center"/>
    </xf>
    <xf numFmtId="0" fontId="15" fillId="11" borderId="0" xfId="0" applyFont="1" applyFill="1">
      <alignment vertical="center"/>
    </xf>
    <xf numFmtId="0" fontId="13" fillId="0" borderId="0" xfId="0" applyFont="1" applyAlignment="1">
      <alignment horizontal="right" vertical="center"/>
    </xf>
    <xf numFmtId="180" fontId="13" fillId="0" borderId="2" xfId="3" applyNumberFormat="1" applyFont="1" applyBorder="1" applyAlignment="1">
      <alignment horizontal="right" vertical="center"/>
    </xf>
    <xf numFmtId="177" fontId="13" fillId="0" borderId="2" xfId="1" applyNumberFormat="1" applyFont="1" applyBorder="1">
      <alignment vertical="center"/>
    </xf>
    <xf numFmtId="179" fontId="13" fillId="0" borderId="18" xfId="1" applyNumberFormat="1" applyFont="1" applyBorder="1" applyAlignment="1">
      <alignment horizontal="centerContinuous" vertical="center"/>
    </xf>
    <xf numFmtId="179" fontId="13" fillId="0" borderId="24" xfId="1" applyNumberFormat="1" applyFont="1" applyBorder="1" applyAlignment="1">
      <alignment horizontal="centerContinuous" vertical="center"/>
    </xf>
    <xf numFmtId="10" fontId="13" fillId="0" borderId="2" xfId="1" applyNumberFormat="1" applyFont="1" applyBorder="1" applyAlignment="1">
      <alignment horizontal="right" vertical="center"/>
    </xf>
    <xf numFmtId="0" fontId="5" fillId="4" borderId="1" xfId="0" applyFont="1" applyFill="1" applyBorder="1" applyAlignment="1">
      <alignment horizontal="center" vertical="center" wrapText="1"/>
    </xf>
    <xf numFmtId="0" fontId="5" fillId="7" borderId="29" xfId="0" applyFont="1" applyFill="1" applyBorder="1" applyAlignment="1">
      <alignment horizontal="center" vertical="center" wrapText="1"/>
    </xf>
    <xf numFmtId="0" fontId="5" fillId="9" borderId="0" xfId="0" applyFont="1" applyFill="1" applyAlignment="1">
      <alignment horizontal="center" vertical="center"/>
    </xf>
    <xf numFmtId="0" fontId="5" fillId="6" borderId="16"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16" fillId="0" borderId="0" xfId="0" applyFont="1">
      <alignment vertical="center"/>
    </xf>
    <xf numFmtId="0" fontId="17" fillId="11" borderId="0" xfId="0" applyFont="1" applyFill="1">
      <alignment vertical="center"/>
    </xf>
    <xf numFmtId="0" fontId="5" fillId="7" borderId="28"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0" borderId="0" xfId="0" applyAlignment="1">
      <alignment horizontal="left" vertical="center" wrapText="1"/>
    </xf>
    <xf numFmtId="0" fontId="6" fillId="0" borderId="0" xfId="0" applyFont="1" applyAlignment="1">
      <alignment horizontal="left" vertical="center"/>
    </xf>
    <xf numFmtId="180" fontId="6" fillId="0" borderId="0" xfId="3" applyNumberFormat="1" applyFont="1" applyAlignment="1">
      <alignment horizontal="left" vertical="center"/>
    </xf>
    <xf numFmtId="0" fontId="5" fillId="4" borderId="29" xfId="0" applyFont="1" applyFill="1" applyBorder="1" applyAlignment="1">
      <alignment horizontal="center" vertical="center" wrapText="1"/>
    </xf>
    <xf numFmtId="180" fontId="0" fillId="4" borderId="16" xfId="3" applyNumberFormat="1" applyFont="1" applyFill="1" applyBorder="1" applyAlignment="1">
      <alignment horizontal="center" vertical="center" wrapText="1"/>
    </xf>
    <xf numFmtId="182" fontId="18" fillId="0" borderId="0" xfId="4" applyFont="1"/>
    <xf numFmtId="0" fontId="19" fillId="0" borderId="0" xfId="0" applyFont="1">
      <alignment vertical="center"/>
    </xf>
    <xf numFmtId="0" fontId="19" fillId="0" borderId="0" xfId="0" applyFont="1" applyAlignment="1">
      <alignment horizontal="right" vertical="center"/>
    </xf>
    <xf numFmtId="0" fontId="20" fillId="0" borderId="0" xfId="0" applyFont="1" applyAlignment="1">
      <alignment horizontal="right" vertical="center"/>
    </xf>
    <xf numFmtId="0" fontId="5" fillId="0" borderId="0" xfId="0" applyFont="1" applyAlignment="1">
      <alignment horizontal="left" vertical="center"/>
    </xf>
    <xf numFmtId="0" fontId="5" fillId="4" borderId="21" xfId="0" applyFont="1" applyFill="1" applyBorder="1" applyAlignment="1">
      <alignment horizontal="center" vertical="center" wrapText="1"/>
    </xf>
    <xf numFmtId="0" fontId="5" fillId="0" borderId="0" xfId="0" applyFont="1" applyAlignment="1">
      <alignment horizontal="right" vertical="center"/>
    </xf>
    <xf numFmtId="180" fontId="5" fillId="4" borderId="17" xfId="3" applyNumberFormat="1" applyFont="1" applyFill="1" applyBorder="1" applyAlignment="1">
      <alignment horizontal="center" vertical="center" wrapText="1"/>
    </xf>
    <xf numFmtId="184" fontId="0" fillId="0" borderId="26" xfId="0" applyNumberFormat="1" applyBorder="1" applyAlignment="1">
      <alignment horizontal="center" vertical="center"/>
    </xf>
    <xf numFmtId="180" fontId="5" fillId="4" borderId="28" xfId="3" applyNumberFormat="1" applyFont="1" applyFill="1" applyBorder="1" applyAlignment="1">
      <alignment horizontal="center" vertical="center" wrapText="1"/>
    </xf>
    <xf numFmtId="10" fontId="3" fillId="2" borderId="1" xfId="1" applyNumberFormat="1" applyFont="1" applyFill="1" applyBorder="1" applyAlignment="1"/>
    <xf numFmtId="180" fontId="5" fillId="4" borderId="1" xfId="3" applyNumberFormat="1" applyFont="1" applyFill="1" applyBorder="1" applyAlignment="1">
      <alignment horizontal="center" vertical="center" wrapText="1"/>
    </xf>
    <xf numFmtId="10" fontId="0" fillId="0" borderId="2" xfId="0" applyNumberFormat="1" applyBorder="1" applyAlignment="1">
      <alignment horizontal="right" vertical="center"/>
    </xf>
    <xf numFmtId="185" fontId="3" fillId="3" borderId="2" xfId="2" applyNumberFormat="1" applyFont="1">
      <protection locked="0"/>
    </xf>
    <xf numFmtId="177" fontId="3" fillId="3" borderId="2" xfId="1" applyNumberFormat="1" applyFont="1" applyFill="1" applyBorder="1" applyAlignment="1" applyProtection="1">
      <protection locked="0"/>
    </xf>
    <xf numFmtId="38" fontId="0" fillId="0" borderId="0" xfId="3" applyFont="1">
      <alignment vertical="center"/>
    </xf>
    <xf numFmtId="0" fontId="21" fillId="0" borderId="0" xfId="0" applyFont="1">
      <alignment vertical="center"/>
    </xf>
    <xf numFmtId="10" fontId="0" fillId="0" borderId="2" xfId="1" applyNumberFormat="1" applyFont="1" applyFill="1" applyBorder="1">
      <alignment vertical="center"/>
    </xf>
    <xf numFmtId="0" fontId="0" fillId="0" borderId="2" xfId="0" applyBorder="1">
      <alignment vertical="center"/>
    </xf>
    <xf numFmtId="183" fontId="0" fillId="0" borderId="2" xfId="0" applyNumberFormat="1" applyBorder="1" applyAlignment="1">
      <alignment horizontal="right" vertical="center"/>
    </xf>
    <xf numFmtId="38" fontId="0" fillId="0" borderId="2" xfId="0" applyNumberFormat="1" applyBorder="1">
      <alignment vertical="center"/>
    </xf>
    <xf numFmtId="185" fontId="7" fillId="0" borderId="2" xfId="2" applyNumberFormat="1" applyFont="1" applyFill="1">
      <protection locked="0"/>
    </xf>
    <xf numFmtId="185" fontId="0" fillId="0" borderId="2" xfId="0" applyNumberFormat="1" applyBorder="1">
      <alignment vertical="center"/>
    </xf>
    <xf numFmtId="180" fontId="0" fillId="0" borderId="2" xfId="3" applyNumberFormat="1" applyFont="1" applyFill="1" applyBorder="1">
      <alignment vertical="center"/>
    </xf>
    <xf numFmtId="176" fontId="7" fillId="0" borderId="34" xfId="2" applyFont="1" applyFill="1" applyBorder="1">
      <protection locked="0"/>
    </xf>
    <xf numFmtId="180" fontId="0" fillId="0" borderId="29" xfId="3" applyNumberFormat="1" applyFont="1" applyFill="1" applyBorder="1">
      <alignment vertical="center"/>
    </xf>
    <xf numFmtId="0" fontId="0" fillId="0" borderId="35" xfId="0" applyBorder="1">
      <alignment vertical="center"/>
    </xf>
    <xf numFmtId="0" fontId="0" fillId="0" borderId="36" xfId="0" applyBorder="1">
      <alignment vertical="center"/>
    </xf>
    <xf numFmtId="0" fontId="0" fillId="0" borderId="36" xfId="0" applyBorder="1" applyAlignment="1">
      <alignment horizontal="center" vertical="center"/>
    </xf>
    <xf numFmtId="176" fontId="7" fillId="0" borderId="37" xfId="2" applyFont="1" applyFill="1" applyBorder="1">
      <protection locked="0"/>
    </xf>
    <xf numFmtId="180" fontId="0" fillId="0" borderId="30" xfId="3" applyNumberFormat="1" applyFont="1" applyFill="1" applyBorder="1">
      <alignment vertical="center"/>
    </xf>
    <xf numFmtId="176" fontId="7" fillId="0" borderId="38" xfId="2" applyFont="1" applyFill="1" applyBorder="1">
      <protection locked="0"/>
    </xf>
    <xf numFmtId="180" fontId="0" fillId="0" borderId="39" xfId="3" applyNumberFormat="1" applyFont="1" applyFill="1" applyBorder="1">
      <alignment vertical="center"/>
    </xf>
    <xf numFmtId="40" fontId="0" fillId="0" borderId="40" xfId="3" applyNumberFormat="1" applyFont="1" applyFill="1" applyBorder="1">
      <alignment vertical="center"/>
    </xf>
    <xf numFmtId="180" fontId="13" fillId="0" borderId="2" xfId="3" applyNumberFormat="1" applyFont="1" applyFill="1" applyBorder="1" applyAlignment="1">
      <alignment horizontal="right" vertical="center"/>
    </xf>
    <xf numFmtId="10" fontId="13" fillId="0" borderId="14" xfId="1" applyNumberFormat="1" applyFont="1" applyFill="1" applyBorder="1" applyAlignment="1">
      <alignment horizontal="right" vertical="center"/>
    </xf>
    <xf numFmtId="176" fontId="7" fillId="0" borderId="2" xfId="2" applyFont="1" applyFill="1" applyAlignment="1">
      <alignment horizontal="right"/>
      <protection locked="0"/>
    </xf>
    <xf numFmtId="177" fontId="3" fillId="3" borderId="14" xfId="1" applyNumberFormat="1" applyFont="1" applyFill="1" applyBorder="1" applyAlignment="1" applyProtection="1">
      <protection locked="0"/>
    </xf>
    <xf numFmtId="0" fontId="5" fillId="7" borderId="21" xfId="0" applyFont="1" applyFill="1" applyBorder="1" applyAlignment="1">
      <alignment horizontal="center" vertical="center" wrapText="1"/>
    </xf>
    <xf numFmtId="14" fontId="7" fillId="12" borderId="2" xfId="2" applyNumberFormat="1" applyFont="1" applyFill="1">
      <protection locked="0"/>
    </xf>
    <xf numFmtId="9" fontId="3" fillId="12" borderId="2" xfId="1" applyFont="1" applyFill="1" applyBorder="1" applyAlignment="1"/>
    <xf numFmtId="9" fontId="3" fillId="12" borderId="14" xfId="1" applyFont="1" applyFill="1" applyBorder="1" applyAlignment="1"/>
    <xf numFmtId="177" fontId="0" fillId="0" borderId="2" xfId="0" applyNumberFormat="1" applyBorder="1">
      <alignment vertical="center"/>
    </xf>
    <xf numFmtId="9" fontId="3" fillId="3" borderId="1" xfId="1" applyFont="1" applyFill="1" applyBorder="1" applyAlignment="1" applyProtection="1">
      <protection locked="0"/>
    </xf>
    <xf numFmtId="38" fontId="13" fillId="0" borderId="2" xfId="3" applyFont="1" applyBorder="1" applyAlignment="1">
      <alignment horizontal="right" vertical="center"/>
    </xf>
    <xf numFmtId="178" fontId="3" fillId="0" borderId="2" xfId="2" applyNumberFormat="1" applyFont="1" applyFill="1">
      <protection locked="0"/>
    </xf>
    <xf numFmtId="180" fontId="5" fillId="4" borderId="21" xfId="3" applyNumberFormat="1" applyFont="1" applyFill="1" applyBorder="1" applyAlignment="1">
      <alignment horizontal="centerContinuous" vertical="center" wrapText="1"/>
    </xf>
    <xf numFmtId="0" fontId="5" fillId="0" borderId="41" xfId="0" applyFont="1" applyBorder="1" applyAlignment="1">
      <alignment horizontal="center" vertical="center"/>
    </xf>
    <xf numFmtId="0" fontId="5" fillId="4" borderId="29" xfId="0" applyFont="1" applyFill="1" applyBorder="1" applyAlignment="1">
      <alignment horizontal="centerContinuous" vertical="center" wrapText="1"/>
    </xf>
    <xf numFmtId="180" fontId="0" fillId="4" borderId="29" xfId="3" applyNumberFormat="1" applyFont="1" applyFill="1" applyBorder="1" applyAlignment="1">
      <alignment horizontal="centerContinuous" vertical="center"/>
    </xf>
    <xf numFmtId="176" fontId="5" fillId="0" borderId="4" xfId="0" applyNumberFormat="1" applyFont="1" applyBorder="1">
      <alignment vertical="center"/>
    </xf>
    <xf numFmtId="176" fontId="3" fillId="3" borderId="14" xfId="2" applyFont="1" applyBorder="1">
      <protection locked="0"/>
    </xf>
    <xf numFmtId="0" fontId="22" fillId="0" borderId="0" xfId="0" applyFont="1">
      <alignment vertical="center"/>
    </xf>
    <xf numFmtId="186" fontId="0" fillId="0" borderId="32" xfId="0" applyNumberFormat="1" applyBorder="1" applyAlignment="1">
      <alignment horizontal="center" vertical="center"/>
    </xf>
    <xf numFmtId="186" fontId="0" fillId="0" borderId="31" xfId="0" applyNumberFormat="1" applyBorder="1" applyAlignment="1">
      <alignment horizontal="center" vertical="center"/>
    </xf>
    <xf numFmtId="186" fontId="0" fillId="0" borderId="0" xfId="0" applyNumberFormat="1" applyAlignment="1">
      <alignment horizontal="center" vertical="center"/>
    </xf>
    <xf numFmtId="186" fontId="0" fillId="0" borderId="14" xfId="0" applyNumberFormat="1" applyBorder="1" applyAlignment="1">
      <alignment horizontal="center" vertical="center"/>
    </xf>
    <xf numFmtId="186" fontId="0" fillId="0" borderId="18" xfId="3" applyNumberFormat="1" applyFont="1" applyBorder="1" applyAlignment="1">
      <alignment horizontal="right" vertical="center"/>
    </xf>
    <xf numFmtId="186" fontId="0" fillId="0" borderId="4" xfId="3" applyNumberFormat="1" applyFont="1" applyBorder="1" applyAlignment="1">
      <alignment horizontal="right" vertical="center"/>
    </xf>
    <xf numFmtId="186" fontId="0" fillId="0" borderId="24" xfId="3" applyNumberFormat="1" applyFont="1" applyBorder="1" applyAlignment="1">
      <alignment horizontal="right" vertical="center"/>
    </xf>
    <xf numFmtId="186" fontId="0" fillId="0" borderId="2" xfId="3" applyNumberFormat="1" applyFont="1" applyBorder="1" applyAlignment="1">
      <alignment horizontal="right" vertical="center"/>
    </xf>
    <xf numFmtId="186" fontId="0" fillId="0" borderId="3" xfId="3" applyNumberFormat="1" applyFont="1" applyBorder="1" applyAlignment="1">
      <alignment horizontal="right" vertical="center"/>
    </xf>
    <xf numFmtId="186" fontId="0" fillId="0" borderId="23" xfId="3" applyNumberFormat="1" applyFont="1" applyBorder="1" applyAlignment="1">
      <alignment horizontal="right" vertical="center"/>
    </xf>
    <xf numFmtId="186" fontId="0" fillId="0" borderId="16" xfId="3" applyNumberFormat="1" applyFont="1" applyBorder="1" applyAlignment="1">
      <alignment horizontal="right" vertical="center"/>
    </xf>
    <xf numFmtId="186" fontId="0" fillId="0" borderId="14" xfId="3" applyNumberFormat="1" applyFont="1" applyBorder="1" applyAlignment="1">
      <alignment horizontal="right" vertical="center"/>
    </xf>
    <xf numFmtId="186" fontId="0" fillId="0" borderId="14" xfId="3" applyNumberFormat="1" applyFont="1" applyBorder="1" applyAlignment="1">
      <alignment horizontal="center" vertical="center"/>
    </xf>
    <xf numFmtId="186" fontId="5" fillId="0" borderId="0" xfId="3" applyNumberFormat="1" applyFont="1" applyAlignment="1">
      <alignment horizontal="center" vertical="center"/>
    </xf>
    <xf numFmtId="186" fontId="0" fillId="0" borderId="0" xfId="0" applyNumberFormat="1">
      <alignment vertical="center"/>
    </xf>
    <xf numFmtId="186" fontId="0" fillId="0" borderId="0" xfId="3" applyNumberFormat="1" applyFont="1" applyAlignment="1">
      <alignment horizontal="center" vertical="center"/>
    </xf>
    <xf numFmtId="177" fontId="0" fillId="0" borderId="6" xfId="1" applyNumberFormat="1" applyFont="1" applyBorder="1" applyAlignment="1">
      <alignment horizontal="center" vertical="center"/>
    </xf>
    <xf numFmtId="186" fontId="0" fillId="0" borderId="41" xfId="3" applyNumberFormat="1" applyFont="1" applyFill="1" applyBorder="1" applyAlignment="1">
      <alignment horizontal="center" vertical="center"/>
    </xf>
    <xf numFmtId="186" fontId="0" fillId="0" borderId="2" xfId="3" applyNumberFormat="1" applyFont="1" applyFill="1" applyBorder="1" applyAlignment="1">
      <alignment horizontal="right" vertical="center"/>
    </xf>
    <xf numFmtId="186" fontId="0" fillId="0" borderId="32" xfId="0" applyNumberFormat="1" applyBorder="1">
      <alignment vertical="center"/>
    </xf>
    <xf numFmtId="186" fontId="0" fillId="0" borderId="33" xfId="0" applyNumberFormat="1" applyBorder="1" applyAlignment="1">
      <alignment horizontal="center" vertical="center"/>
    </xf>
    <xf numFmtId="186" fontId="0" fillId="0" borderId="0" xfId="3" applyNumberFormat="1" applyFont="1" applyBorder="1" applyAlignment="1">
      <alignment horizontal="center" vertical="center"/>
    </xf>
    <xf numFmtId="187" fontId="0" fillId="0" borderId="7" xfId="3" applyNumberFormat="1" applyFont="1" applyBorder="1" applyAlignment="1">
      <alignment horizontal="center" vertical="center"/>
    </xf>
    <xf numFmtId="187" fontId="0" fillId="0" borderId="8" xfId="3" applyNumberFormat="1" applyFont="1" applyBorder="1" applyAlignment="1">
      <alignment horizontal="center" vertical="center"/>
    </xf>
    <xf numFmtId="0" fontId="6" fillId="0" borderId="0" xfId="0" applyFont="1">
      <alignment vertical="center"/>
    </xf>
    <xf numFmtId="0" fontId="23" fillId="0" borderId="0" xfId="0" applyFont="1">
      <alignment vertical="center"/>
    </xf>
    <xf numFmtId="0" fontId="23" fillId="0" borderId="0" xfId="0" applyFont="1" applyAlignment="1">
      <alignment horizontal="center" vertical="center"/>
    </xf>
    <xf numFmtId="0" fontId="7" fillId="0" borderId="0" xfId="0" applyFont="1">
      <alignment vertical="center"/>
    </xf>
    <xf numFmtId="0" fontId="25" fillId="0" borderId="0" xfId="0" applyFont="1">
      <alignment vertical="center"/>
    </xf>
    <xf numFmtId="0" fontId="24" fillId="0" borderId="0" xfId="0" applyFont="1" applyAlignment="1">
      <alignment horizontal="center" vertical="center"/>
    </xf>
    <xf numFmtId="0" fontId="25" fillId="0" borderId="0" xfId="0" applyFont="1" applyAlignment="1">
      <alignment horizontal="center" vertical="center"/>
    </xf>
    <xf numFmtId="188" fontId="13" fillId="0" borderId="2" xfId="3" applyNumberFormat="1" applyFont="1" applyBorder="1" applyAlignment="1">
      <alignment horizontal="right" vertical="center"/>
    </xf>
    <xf numFmtId="188" fontId="13" fillId="0" borderId="0" xfId="0" applyNumberFormat="1" applyFont="1">
      <alignment vertical="center"/>
    </xf>
    <xf numFmtId="188" fontId="13" fillId="0" borderId="0" xfId="3" applyNumberFormat="1" applyFont="1">
      <alignment vertical="center"/>
    </xf>
    <xf numFmtId="177" fontId="7" fillId="0" borderId="0" xfId="0" applyNumberFormat="1" applyFont="1">
      <alignment vertical="center"/>
    </xf>
    <xf numFmtId="0" fontId="25" fillId="0" borderId="0" xfId="0" applyFont="1" applyAlignment="1">
      <alignment horizontal="right" vertical="center"/>
    </xf>
    <xf numFmtId="0" fontId="13" fillId="0" borderId="2" xfId="0" applyFont="1" applyBorder="1" applyAlignment="1">
      <alignment horizontal="centerContinuous" vertical="center"/>
    </xf>
    <xf numFmtId="0" fontId="13" fillId="0" borderId="24" xfId="0" applyFont="1" applyBorder="1" applyAlignment="1">
      <alignment horizontal="centerContinuous" vertical="center"/>
    </xf>
    <xf numFmtId="0" fontId="15" fillId="11" borderId="22" xfId="0" applyFont="1" applyFill="1" applyBorder="1" applyAlignment="1">
      <alignment horizontal="center" vertical="center"/>
    </xf>
    <xf numFmtId="0" fontId="5" fillId="13" borderId="0" xfId="0" applyFont="1" applyFill="1">
      <alignment vertical="center"/>
    </xf>
    <xf numFmtId="180" fontId="7" fillId="0" borderId="2" xfId="3" applyNumberFormat="1" applyFont="1" applyBorder="1">
      <alignment vertical="center"/>
    </xf>
    <xf numFmtId="180" fontId="3" fillId="3" borderId="2" xfId="3" applyNumberFormat="1" applyFont="1" applyFill="1" applyBorder="1" applyAlignment="1" applyProtection="1">
      <protection locked="0"/>
    </xf>
    <xf numFmtId="180" fontId="3" fillId="3" borderId="2" xfId="2" applyNumberFormat="1" applyFont="1">
      <protection locked="0"/>
    </xf>
    <xf numFmtId="180" fontId="7" fillId="0" borderId="2" xfId="0" applyNumberFormat="1" applyFont="1" applyBorder="1">
      <alignment vertical="center"/>
    </xf>
    <xf numFmtId="177" fontId="7" fillId="0" borderId="2" xfId="1" applyNumberFormat="1" applyFont="1" applyBorder="1">
      <alignment vertical="center"/>
    </xf>
    <xf numFmtId="0" fontId="25" fillId="0" borderId="0" xfId="0" applyFont="1" applyAlignment="1">
      <alignment horizontal="left" vertical="center"/>
    </xf>
    <xf numFmtId="0" fontId="26" fillId="0" borderId="0" xfId="0" applyFont="1">
      <alignment vertical="center"/>
    </xf>
    <xf numFmtId="177" fontId="27" fillId="12" borderId="2" xfId="1" applyNumberFormat="1" applyFont="1" applyFill="1" applyBorder="1" applyAlignment="1"/>
    <xf numFmtId="9" fontId="27" fillId="12" borderId="2" xfId="1" applyFont="1" applyFill="1" applyBorder="1" applyAlignment="1"/>
    <xf numFmtId="178" fontId="27" fillId="12" borderId="2" xfId="2" applyNumberFormat="1" applyFont="1" applyFill="1">
      <protection locked="0"/>
    </xf>
    <xf numFmtId="0" fontId="28" fillId="0" borderId="0" xfId="0" applyFont="1">
      <alignment vertical="center"/>
    </xf>
    <xf numFmtId="10" fontId="14" fillId="0" borderId="14" xfId="1" applyNumberFormat="1" applyFont="1" applyFill="1" applyBorder="1" applyAlignment="1">
      <alignment horizontal="right" vertical="center"/>
    </xf>
    <xf numFmtId="0" fontId="15" fillId="10" borderId="0" xfId="0" applyFont="1" applyFill="1" applyAlignment="1">
      <alignment horizontal="center" vertical="center"/>
    </xf>
    <xf numFmtId="10" fontId="13" fillId="0" borderId="14" xfId="1" applyNumberFormat="1" applyFont="1" applyBorder="1" applyAlignment="1">
      <alignment horizontal="right" vertical="center"/>
    </xf>
    <xf numFmtId="10" fontId="13" fillId="0" borderId="0" xfId="1" applyNumberFormat="1" applyFont="1">
      <alignment vertical="center"/>
    </xf>
    <xf numFmtId="10" fontId="13" fillId="0" borderId="42" xfId="1" applyNumberFormat="1" applyFont="1" applyBorder="1" applyAlignment="1">
      <alignment horizontal="right" vertical="center"/>
    </xf>
    <xf numFmtId="10" fontId="13" fillId="0" borderId="43" xfId="1" applyNumberFormat="1" applyFont="1" applyBorder="1" applyAlignment="1">
      <alignment horizontal="right" vertical="center"/>
    </xf>
    <xf numFmtId="0" fontId="5" fillId="6" borderId="19" xfId="0" applyFont="1" applyFill="1" applyBorder="1" applyAlignment="1">
      <alignment horizontal="centerContinuous" vertical="center"/>
    </xf>
    <xf numFmtId="0" fontId="5" fillId="6" borderId="20" xfId="0" applyFont="1" applyFill="1" applyBorder="1" applyAlignment="1">
      <alignment horizontal="centerContinuous" vertical="center"/>
    </xf>
    <xf numFmtId="0" fontId="5" fillId="6" borderId="21" xfId="0" applyFont="1" applyFill="1" applyBorder="1" applyAlignment="1">
      <alignment horizontal="center" vertical="center"/>
    </xf>
    <xf numFmtId="0" fontId="5" fillId="6" borderId="21" xfId="0" applyFont="1" applyFill="1" applyBorder="1" applyAlignment="1">
      <alignment horizontal="center" vertical="center" wrapText="1"/>
    </xf>
    <xf numFmtId="186" fontId="9" fillId="0" borderId="0" xfId="3" applyNumberFormat="1" applyFont="1">
      <alignment vertical="center"/>
    </xf>
    <xf numFmtId="177" fontId="13" fillId="0" borderId="2" xfId="1" applyNumberFormat="1" applyFont="1" applyBorder="1" applyAlignment="1">
      <alignment horizontal="right" vertical="center"/>
    </xf>
    <xf numFmtId="0" fontId="30" fillId="0" borderId="0" xfId="0" applyFont="1">
      <alignment vertical="center"/>
    </xf>
    <xf numFmtId="0" fontId="9" fillId="0" borderId="44" xfId="0" applyFont="1" applyBorder="1">
      <alignment vertical="center"/>
    </xf>
    <xf numFmtId="180" fontId="3" fillId="3" borderId="29" xfId="2" applyNumberFormat="1" applyFont="1" applyBorder="1">
      <protection locked="0"/>
    </xf>
    <xf numFmtId="0" fontId="25" fillId="0" borderId="41" xfId="0" applyFont="1" applyBorder="1">
      <alignment vertical="center"/>
    </xf>
    <xf numFmtId="180" fontId="7" fillId="0" borderId="45" xfId="3" applyNumberFormat="1" applyFont="1" applyBorder="1">
      <alignment vertical="center"/>
    </xf>
    <xf numFmtId="10" fontId="13" fillId="0" borderId="34" xfId="1" applyNumberFormat="1" applyFont="1" applyFill="1" applyBorder="1" applyAlignment="1">
      <alignment horizontal="right" vertical="center"/>
    </xf>
    <xf numFmtId="10" fontId="13" fillId="0" borderId="2" xfId="1" applyNumberFormat="1" applyFont="1" applyFill="1" applyBorder="1" applyAlignment="1">
      <alignment horizontal="right" vertical="center"/>
    </xf>
    <xf numFmtId="10" fontId="13" fillId="0" borderId="0" xfId="1" applyNumberFormat="1" applyFont="1" applyFill="1">
      <alignment vertical="center"/>
    </xf>
    <xf numFmtId="180" fontId="0" fillId="0" borderId="40" xfId="3" applyNumberFormat="1" applyFont="1" applyFill="1" applyBorder="1">
      <alignment vertical="center"/>
    </xf>
    <xf numFmtId="10" fontId="13" fillId="0" borderId="46" xfId="1" applyNumberFormat="1" applyFont="1" applyBorder="1" applyAlignment="1">
      <alignment horizontal="right" vertical="center"/>
    </xf>
    <xf numFmtId="0" fontId="5" fillId="8" borderId="0" xfId="0" applyFont="1" applyFill="1" applyAlignment="1">
      <alignment horizontal="center" vertical="center" wrapText="1"/>
    </xf>
    <xf numFmtId="186" fontId="0" fillId="0" borderId="32" xfId="3" applyNumberFormat="1" applyFont="1" applyBorder="1" applyAlignment="1">
      <alignment horizontal="center" vertical="center" wrapText="1"/>
    </xf>
    <xf numFmtId="186" fontId="0" fillId="0" borderId="31" xfId="3" applyNumberFormat="1" applyFont="1" applyBorder="1" applyAlignment="1">
      <alignment horizontal="center" vertical="center" wrapText="1"/>
    </xf>
    <xf numFmtId="186" fontId="0" fillId="0" borderId="18" xfId="3" applyNumberFormat="1" applyFont="1" applyBorder="1" applyAlignment="1">
      <alignment horizontal="right" vertical="center" wrapText="1"/>
    </xf>
    <xf numFmtId="186" fontId="0" fillId="0" borderId="4" xfId="3" applyNumberFormat="1" applyFont="1" applyBorder="1" applyAlignment="1">
      <alignment horizontal="right" vertical="center" wrapText="1"/>
    </xf>
    <xf numFmtId="186" fontId="0" fillId="0" borderId="24" xfId="3" applyNumberFormat="1" applyFont="1" applyBorder="1" applyAlignment="1">
      <alignment horizontal="right" vertical="center" wrapText="1"/>
    </xf>
    <xf numFmtId="186" fontId="0" fillId="0" borderId="3" xfId="3" applyNumberFormat="1" applyFont="1" applyBorder="1" applyAlignment="1">
      <alignment horizontal="right" vertical="center" wrapText="1"/>
    </xf>
    <xf numFmtId="186" fontId="0" fillId="0" borderId="23" xfId="3" applyNumberFormat="1" applyFont="1" applyBorder="1" applyAlignment="1">
      <alignment horizontal="right" vertical="center" wrapText="1"/>
    </xf>
    <xf numFmtId="186" fontId="0" fillId="0" borderId="0" xfId="3" applyNumberFormat="1" applyFont="1" applyAlignment="1">
      <alignment horizontal="center" vertical="center" wrapText="1"/>
    </xf>
    <xf numFmtId="186" fontId="0" fillId="0" borderId="41" xfId="3" applyNumberFormat="1" applyFont="1" applyFill="1" applyBorder="1" applyAlignment="1">
      <alignment horizontal="center" vertical="center" wrapText="1"/>
    </xf>
    <xf numFmtId="180" fontId="0" fillId="0" borderId="0" xfId="3" applyNumberFormat="1" applyFont="1" applyAlignment="1">
      <alignment horizontal="center" vertical="center" wrapText="1"/>
    </xf>
    <xf numFmtId="180" fontId="5" fillId="8" borderId="0" xfId="3" applyNumberFormat="1" applyFont="1" applyFill="1" applyAlignment="1">
      <alignment horizontal="center" vertical="center" wrapText="1"/>
    </xf>
    <xf numFmtId="186" fontId="0" fillId="0" borderId="32" xfId="0" applyNumberFormat="1" applyBorder="1" applyAlignment="1">
      <alignment horizontal="center" vertical="center" wrapText="1"/>
    </xf>
    <xf numFmtId="186" fontId="0" fillId="0" borderId="31" xfId="0" applyNumberFormat="1" applyBorder="1" applyAlignment="1">
      <alignment horizontal="center" vertical="center" wrapText="1"/>
    </xf>
    <xf numFmtId="186" fontId="0" fillId="0" borderId="33" xfId="0" applyNumberFormat="1" applyBorder="1" applyAlignment="1">
      <alignment horizontal="center" vertical="center" wrapText="1"/>
    </xf>
    <xf numFmtId="186" fontId="0" fillId="0" borderId="16" xfId="3" applyNumberFormat="1" applyFont="1" applyBorder="1" applyAlignment="1">
      <alignment horizontal="right" vertical="center" wrapText="1"/>
    </xf>
    <xf numFmtId="186" fontId="0" fillId="0" borderId="41" xfId="3" applyNumberFormat="1" applyFont="1" applyBorder="1" applyAlignment="1">
      <alignment horizontal="center" vertical="center" wrapText="1"/>
    </xf>
    <xf numFmtId="186" fontId="5" fillId="0" borderId="41" xfId="3" applyNumberFormat="1" applyFont="1" applyBorder="1" applyAlignment="1">
      <alignment horizontal="center" vertical="center" wrapText="1"/>
    </xf>
    <xf numFmtId="0" fontId="0" fillId="0" borderId="0" xfId="0" applyAlignment="1">
      <alignment vertical="center" wrapText="1"/>
    </xf>
    <xf numFmtId="0" fontId="5" fillId="8" borderId="0" xfId="0" applyFont="1" applyFill="1" applyAlignment="1">
      <alignment vertical="center" wrapText="1"/>
    </xf>
    <xf numFmtId="0" fontId="5" fillId="5" borderId="10" xfId="0" applyFont="1" applyFill="1" applyBorder="1" applyAlignment="1">
      <alignment horizontal="center" vertical="center" wrapText="1"/>
    </xf>
    <xf numFmtId="0" fontId="5" fillId="7" borderId="0" xfId="0" applyFont="1" applyFill="1" applyAlignment="1">
      <alignment horizontal="center" vertical="center" wrapText="1"/>
    </xf>
    <xf numFmtId="0" fontId="5" fillId="5" borderId="13" xfId="0" applyFont="1" applyFill="1" applyBorder="1" applyAlignment="1">
      <alignment horizontal="center" vertical="center" wrapText="1"/>
    </xf>
    <xf numFmtId="0" fontId="5" fillId="7" borderId="5" xfId="0" applyFont="1" applyFill="1" applyBorder="1" applyAlignment="1">
      <alignment horizontal="center" vertical="center" wrapText="1"/>
    </xf>
    <xf numFmtId="177" fontId="0" fillId="0" borderId="9" xfId="1" applyNumberFormat="1" applyFont="1" applyBorder="1" applyAlignment="1">
      <alignment horizontal="center" vertical="center" wrapText="1"/>
    </xf>
    <xf numFmtId="177" fontId="0" fillId="0" borderId="6" xfId="1" applyNumberFormat="1" applyFont="1" applyBorder="1" applyAlignment="1">
      <alignment horizontal="center" vertical="center" wrapText="1"/>
    </xf>
    <xf numFmtId="180" fontId="0" fillId="4" borderId="29" xfId="3" applyNumberFormat="1" applyFont="1" applyFill="1" applyBorder="1" applyAlignment="1">
      <alignment horizontal="centerContinuous" vertical="center" wrapText="1"/>
    </xf>
    <xf numFmtId="186" fontId="0" fillId="0" borderId="32" xfId="0" applyNumberFormat="1" applyBorder="1" applyAlignment="1">
      <alignment vertical="center" wrapText="1"/>
    </xf>
    <xf numFmtId="186" fontId="0" fillId="0" borderId="2" xfId="3" applyNumberFormat="1" applyFont="1" applyFill="1" applyBorder="1" applyAlignment="1">
      <alignment horizontal="right" vertical="center" wrapText="1"/>
    </xf>
    <xf numFmtId="186" fontId="0" fillId="0" borderId="2" xfId="3" applyNumberFormat="1" applyFont="1" applyBorder="1" applyAlignment="1">
      <alignment horizontal="right" vertical="center" wrapText="1"/>
    </xf>
    <xf numFmtId="186" fontId="0" fillId="0" borderId="14" xfId="3" applyNumberFormat="1" applyFont="1" applyBorder="1" applyAlignment="1">
      <alignment horizontal="right" vertical="center" wrapText="1"/>
    </xf>
    <xf numFmtId="186" fontId="0" fillId="0" borderId="14" xfId="3" applyNumberFormat="1" applyFont="1" applyBorder="1" applyAlignment="1">
      <alignment horizontal="center" vertical="center" wrapText="1"/>
    </xf>
    <xf numFmtId="186" fontId="0" fillId="0" borderId="0" xfId="3" applyNumberFormat="1" applyFont="1" applyAlignment="1">
      <alignment vertical="center" wrapText="1"/>
    </xf>
    <xf numFmtId="0" fontId="8" fillId="0" borderId="0" xfId="0" applyFont="1">
      <alignment vertical="center"/>
    </xf>
    <xf numFmtId="0" fontId="5" fillId="0" borderId="0" xfId="0" applyFont="1" applyAlignment="1">
      <alignment vertical="center" wrapText="1"/>
    </xf>
    <xf numFmtId="180" fontId="5" fillId="0" borderId="0" xfId="3" applyNumberFormat="1" applyFont="1" applyFill="1" applyAlignment="1">
      <alignment horizontal="center" vertical="center" wrapText="1"/>
    </xf>
    <xf numFmtId="180" fontId="5" fillId="0" borderId="0" xfId="3" applyNumberFormat="1" applyFont="1" applyFill="1" applyAlignment="1">
      <alignment horizontal="center" vertical="center"/>
    </xf>
    <xf numFmtId="176" fontId="0" fillId="0" borderId="2" xfId="0" applyNumberFormat="1" applyBorder="1" applyAlignment="1">
      <alignment vertical="center" wrapText="1"/>
    </xf>
    <xf numFmtId="0" fontId="8" fillId="10" borderId="25"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32" fillId="10" borderId="47" xfId="5" applyFont="1" applyFill="1" applyAlignment="1">
      <alignment horizontal="left" vertical="center"/>
    </xf>
    <xf numFmtId="0" fontId="33" fillId="10" borderId="47" xfId="5" applyFont="1" applyFill="1" applyAlignment="1">
      <alignment horizontal="right" vertical="center"/>
    </xf>
    <xf numFmtId="180" fontId="13" fillId="0" borderId="0" xfId="3" applyNumberFormat="1" applyFont="1">
      <alignment vertical="center"/>
    </xf>
    <xf numFmtId="176" fontId="5" fillId="0" borderId="4" xfId="0" applyNumberFormat="1" applyFont="1" applyBorder="1" applyAlignment="1">
      <alignment horizontal="center" vertical="center"/>
    </xf>
    <xf numFmtId="9" fontId="3" fillId="8" borderId="2" xfId="1" applyFont="1" applyFill="1" applyBorder="1" applyAlignment="1"/>
    <xf numFmtId="176" fontId="3" fillId="8" borderId="2" xfId="2" applyFont="1" applyFill="1">
      <protection locked="0"/>
    </xf>
    <xf numFmtId="176" fontId="25" fillId="3" borderId="2" xfId="2" applyFont="1">
      <protection locked="0"/>
    </xf>
    <xf numFmtId="9" fontId="25" fillId="8" borderId="2" xfId="1" applyFont="1" applyFill="1" applyBorder="1" applyAlignment="1"/>
    <xf numFmtId="178" fontId="25" fillId="12" borderId="2" xfId="2" applyNumberFormat="1" applyFont="1" applyFill="1">
      <protection locked="0"/>
    </xf>
    <xf numFmtId="0" fontId="34" fillId="12" borderId="0" xfId="0" applyFont="1" applyFill="1">
      <alignment vertical="center"/>
    </xf>
    <xf numFmtId="185" fontId="3" fillId="8" borderId="2" xfId="2" applyNumberFormat="1" applyFont="1" applyFill="1">
      <protection locked="0"/>
    </xf>
    <xf numFmtId="0" fontId="0" fillId="12" borderId="0" xfId="0" applyFill="1">
      <alignment vertical="center"/>
    </xf>
    <xf numFmtId="180" fontId="3" fillId="12" borderId="14" xfId="3" applyNumberFormat="1" applyFont="1" applyFill="1" applyBorder="1" applyAlignment="1"/>
    <xf numFmtId="186" fontId="0" fillId="0" borderId="3" xfId="3" applyNumberFormat="1" applyFont="1" applyFill="1" applyBorder="1" applyAlignment="1">
      <alignment horizontal="right" vertical="center" wrapText="1"/>
    </xf>
    <xf numFmtId="186" fontId="0" fillId="12" borderId="3" xfId="3" applyNumberFormat="1" applyFont="1" applyFill="1" applyBorder="1" applyAlignment="1">
      <alignment horizontal="right" vertical="center" wrapText="1"/>
    </xf>
    <xf numFmtId="186" fontId="0" fillId="12" borderId="3" xfId="3" applyNumberFormat="1" applyFont="1" applyFill="1" applyBorder="1" applyAlignment="1">
      <alignment horizontal="right" vertical="center"/>
    </xf>
    <xf numFmtId="186" fontId="0" fillId="0" borderId="4" xfId="3" applyNumberFormat="1" applyFont="1" applyFill="1" applyBorder="1" applyAlignment="1">
      <alignment horizontal="right" vertical="center"/>
    </xf>
    <xf numFmtId="180" fontId="0" fillId="0" borderId="0" xfId="3" applyNumberFormat="1" applyFont="1" applyFill="1" applyAlignment="1">
      <alignment horizontal="center" vertical="center"/>
    </xf>
    <xf numFmtId="0" fontId="5" fillId="0" borderId="3" xfId="0" applyFont="1" applyBorder="1" applyAlignment="1">
      <alignment horizontal="left" vertical="center"/>
    </xf>
    <xf numFmtId="0" fontId="0" fillId="0" borderId="14" xfId="0" applyBorder="1" applyAlignment="1">
      <alignment horizontal="center" vertical="center"/>
    </xf>
    <xf numFmtId="182" fontId="12" fillId="0" borderId="14" xfId="4" applyBorder="1" applyAlignment="1">
      <alignment horizontal="center"/>
    </xf>
    <xf numFmtId="181" fontId="0" fillId="0" borderId="14" xfId="3" applyNumberFormat="1" applyFont="1" applyBorder="1" applyAlignment="1">
      <alignment horizontal="right" vertical="center"/>
    </xf>
    <xf numFmtId="182" fontId="12" fillId="0" borderId="2" xfId="4" applyBorder="1" applyAlignment="1">
      <alignment horizontal="center"/>
    </xf>
    <xf numFmtId="182" fontId="12" fillId="7" borderId="1" xfId="4" applyFill="1" applyBorder="1" applyAlignment="1">
      <alignment horizontal="center" wrapText="1"/>
    </xf>
    <xf numFmtId="0" fontId="5" fillId="7" borderId="28" xfId="0" applyFont="1" applyFill="1" applyBorder="1" applyAlignment="1">
      <alignment horizontal="center" vertical="center"/>
    </xf>
    <xf numFmtId="176" fontId="7" fillId="0" borderId="2" xfId="2" applyFont="1" applyFill="1">
      <protection locked="0"/>
    </xf>
    <xf numFmtId="178" fontId="7" fillId="12" borderId="2" xfId="2" applyNumberFormat="1" applyFont="1" applyFill="1">
      <protection locked="0"/>
    </xf>
    <xf numFmtId="0" fontId="1" fillId="0" borderId="0" xfId="0" applyFont="1">
      <alignment vertical="center"/>
    </xf>
    <xf numFmtId="179" fontId="1" fillId="0" borderId="2" xfId="0" applyNumberFormat="1" applyFont="1" applyBorder="1">
      <alignment vertical="center"/>
    </xf>
    <xf numFmtId="179" fontId="1" fillId="0" borderId="2" xfId="1" applyNumberFormat="1" applyFont="1" applyBorder="1">
      <alignment vertical="center"/>
    </xf>
    <xf numFmtId="10" fontId="3" fillId="8" borderId="2" xfId="1" applyNumberFormat="1" applyFont="1" applyFill="1" applyBorder="1" applyAlignment="1"/>
    <xf numFmtId="0" fontId="35" fillId="0" borderId="0" xfId="0" applyFont="1">
      <alignment vertical="center"/>
    </xf>
    <xf numFmtId="0" fontId="36" fillId="0" borderId="0" xfId="0" applyFont="1">
      <alignment vertical="center"/>
    </xf>
    <xf numFmtId="0" fontId="36" fillId="0" borderId="0" xfId="0" applyFont="1" applyAlignment="1">
      <alignment horizontal="left" vertical="center"/>
    </xf>
    <xf numFmtId="178" fontId="27" fillId="0" borderId="2" xfId="2" applyNumberFormat="1" applyFont="1" applyFill="1">
      <protection locked="0"/>
    </xf>
    <xf numFmtId="180" fontId="6" fillId="0" borderId="0" xfId="3" applyNumberFormat="1" applyFont="1" applyFill="1" applyAlignment="1">
      <alignment horizontal="left" vertical="center"/>
    </xf>
    <xf numFmtId="0" fontId="29" fillId="2" borderId="18" xfId="0" applyFont="1" applyFill="1" applyBorder="1" applyAlignment="1">
      <alignment horizontal="center" vertical="center"/>
    </xf>
    <xf numFmtId="0" fontId="29" fillId="2" borderId="24" xfId="0" applyFont="1" applyFill="1" applyBorder="1" applyAlignment="1">
      <alignment horizontal="center" vertical="center"/>
    </xf>
  </cellXfs>
  <cellStyles count="6">
    <cellStyle name="DTInputValue" xfId="2" xr:uid="{1572B57F-FA50-4781-8A97-41338D16CE36}"/>
    <cellStyle name="DTWarning" xfId="4" xr:uid="{E830659A-CD60-483C-8C64-FC3C83E1B004}"/>
    <cellStyle name="パーセント" xfId="1" builtinId="5"/>
    <cellStyle name="桁区切り" xfId="3" builtinId="6"/>
    <cellStyle name="見出し 1" xfId="5" builtinId="16"/>
    <cellStyle name="標準" xfId="0" builtinId="0"/>
  </cellStyles>
  <dxfs count="0"/>
  <tableStyles count="0" defaultTableStyle="TableStyleMedium2" defaultPivotStyle="PivotStyleLight16"/>
  <colors>
    <mruColors>
      <color rgb="FF0000FF"/>
      <color rgb="FFFFFF99"/>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b="1"/>
              <a:t>各事業方式の財政負担（収支額）の推移</a:t>
            </a:r>
            <a:endParaRPr lang="en-US" altLang="ja-JP"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5.2221111111111121E-2"/>
          <c:y val="0.10135780778591964"/>
          <c:w val="0.93630935185185182"/>
          <c:h val="0.78103147198343326"/>
        </c:manualLayout>
      </c:layout>
      <c:barChart>
        <c:barDir val="col"/>
        <c:grouping val="clustered"/>
        <c:varyColors val="0"/>
        <c:ser>
          <c:idx val="0"/>
          <c:order val="0"/>
          <c:tx>
            <c:strRef>
              <c:f>【編集不可】リスト!$D$3</c:f>
              <c:strCache>
                <c:ptCount val="1"/>
                <c:pt idx="0">
                  <c:v>DB(PSC)</c:v>
                </c:pt>
              </c:strCache>
            </c:strRef>
          </c:tx>
          <c:spPr>
            <a:solidFill>
              <a:schemeClr val="accent1"/>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【編集不可】リスト!$D$4:$D$33</c:f>
              <c:numCache>
                <c:formatCode>#,##0.0;"▲ "#,##0.0</c:formatCode>
                <c:ptCount val="30"/>
                <c:pt idx="0">
                  <c:v>10</c:v>
                </c:pt>
                <c:pt idx="1">
                  <c:v>10</c:v>
                </c:pt>
                <c:pt idx="2">
                  <c:v>1335.25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6A5D-4677-B05D-61389222F138}"/>
            </c:ext>
          </c:extLst>
        </c:ser>
        <c:ser>
          <c:idx val="1"/>
          <c:order val="1"/>
          <c:tx>
            <c:strRef>
              <c:f>【編集不可】リスト!$E$3</c:f>
              <c:strCache>
                <c:ptCount val="1"/>
                <c:pt idx="0">
                  <c:v>DB(PFI-LCC)</c:v>
                </c:pt>
              </c:strCache>
            </c:strRef>
          </c:tx>
          <c:spPr>
            <a:solidFill>
              <a:schemeClr val="accent2"/>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【編集不可】リスト!$E$4:$E$33</c:f>
              <c:numCache>
                <c:formatCode>#,##0.0;"▲ "#,##0.0</c:formatCode>
                <c:ptCount val="30"/>
                <c:pt idx="0">
                  <c:v>31</c:v>
                </c:pt>
                <c:pt idx="1">
                  <c:v>6</c:v>
                </c:pt>
                <c:pt idx="2">
                  <c:v>1261.5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1-6A5D-4677-B05D-61389222F138}"/>
            </c:ext>
          </c:extLst>
        </c:ser>
        <c:ser>
          <c:idx val="2"/>
          <c:order val="2"/>
          <c:tx>
            <c:strRef>
              <c:f>【編集不可】リスト!$F$3</c:f>
              <c:strCache>
                <c:ptCount val="1"/>
              </c:strCache>
            </c:strRef>
          </c:tx>
          <c:spPr>
            <a:solidFill>
              <a:schemeClr val="accent3"/>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【編集不可】リスト!$F$4:$F$33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2-6A5D-4677-B05D-61389222F138}"/>
            </c:ext>
          </c:extLst>
        </c:ser>
        <c:ser>
          <c:idx val="3"/>
          <c:order val="3"/>
          <c:tx>
            <c:strRef>
              <c:f>【編集不可】リスト!$G$3</c:f>
              <c:strCache>
                <c:ptCount val="1"/>
              </c:strCache>
            </c:strRef>
          </c:tx>
          <c:spPr>
            <a:solidFill>
              <a:schemeClr val="accent4"/>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【編集不可】リスト!$G$4:$G$33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3-6A5D-4677-B05D-61389222F138}"/>
            </c:ext>
          </c:extLst>
        </c:ser>
        <c:ser>
          <c:idx val="4"/>
          <c:order val="4"/>
          <c:tx>
            <c:strRef>
              <c:f>【編集不可】リスト!$H$3</c:f>
              <c:strCache>
                <c:ptCount val="1"/>
              </c:strCache>
            </c:strRef>
          </c:tx>
          <c:spPr>
            <a:solidFill>
              <a:schemeClr val="accent5"/>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【編集不可】リスト!$H$4:$H$33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4-6A5D-4677-B05D-61389222F138}"/>
            </c:ext>
          </c:extLst>
        </c:ser>
        <c:ser>
          <c:idx val="5"/>
          <c:order val="5"/>
          <c:tx>
            <c:strRef>
              <c:f>【編集不可】リスト!$I$3</c:f>
              <c:strCache>
                <c:ptCount val="1"/>
              </c:strCache>
            </c:strRef>
          </c:tx>
          <c:spPr>
            <a:solidFill>
              <a:schemeClr val="accent6"/>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【編集不可】リスト!$I$4:$I$33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5-6A5D-4677-B05D-61389222F138}"/>
            </c:ext>
          </c:extLst>
        </c:ser>
        <c:ser>
          <c:idx val="6"/>
          <c:order val="6"/>
          <c:tx>
            <c:strRef>
              <c:f>【編集不可】リスト!$J$3</c:f>
              <c:strCache>
                <c:ptCount val="1"/>
              </c:strCache>
            </c:strRef>
          </c:tx>
          <c:spPr>
            <a:solidFill>
              <a:schemeClr val="accent1">
                <a:lumMod val="60000"/>
              </a:schemeClr>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【編集不可】リスト!$J$4:$J$33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6-6A5D-4677-B05D-61389222F138}"/>
            </c:ext>
          </c:extLst>
        </c:ser>
        <c:ser>
          <c:idx val="7"/>
          <c:order val="7"/>
          <c:tx>
            <c:strRef>
              <c:f>【編集不可】リスト!$K$3</c:f>
              <c:strCache>
                <c:ptCount val="1"/>
              </c:strCache>
            </c:strRef>
          </c:tx>
          <c:spPr>
            <a:solidFill>
              <a:schemeClr val="accent2">
                <a:lumMod val="60000"/>
              </a:schemeClr>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【編集不可】リスト!$K$4:$K$33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7-6A5D-4677-B05D-61389222F138}"/>
            </c:ext>
          </c:extLst>
        </c:ser>
        <c:ser>
          <c:idx val="8"/>
          <c:order val="8"/>
          <c:tx>
            <c:strRef>
              <c:f>【編集不可】リスト!$L$3</c:f>
              <c:strCache>
                <c:ptCount val="1"/>
              </c:strCache>
            </c:strRef>
          </c:tx>
          <c:spPr>
            <a:solidFill>
              <a:schemeClr val="accent3">
                <a:lumMod val="60000"/>
              </a:schemeClr>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【編集不可】リスト!$L$4:$L$33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8-6A5D-4677-B05D-61389222F138}"/>
            </c:ext>
          </c:extLst>
        </c:ser>
        <c:ser>
          <c:idx val="9"/>
          <c:order val="9"/>
          <c:tx>
            <c:strRef>
              <c:f>【編集不可】リスト!$M$3</c:f>
              <c:strCache>
                <c:ptCount val="1"/>
              </c:strCache>
            </c:strRef>
          </c:tx>
          <c:spPr>
            <a:solidFill>
              <a:schemeClr val="accent4">
                <a:lumMod val="60000"/>
              </a:schemeClr>
            </a:solidFill>
            <a:ln w="15875">
              <a:noFill/>
            </a:ln>
            <a:effectLst/>
          </c:spPr>
          <c:invertIfNegative val="0"/>
          <c:cat>
            <c:numRef>
              <c:f>【編集不可】リスト!$C$4:$C$33</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【編集不可】リスト!$M$4:$M$33</c:f>
              <c:numCache>
                <c:formatCode>#,##0.0;"▲ "#,##0.0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9-6A5D-4677-B05D-61389222F138}"/>
            </c:ext>
          </c:extLst>
        </c:ser>
        <c:dLbls>
          <c:showLegendKey val="0"/>
          <c:showVal val="0"/>
          <c:showCatName val="0"/>
          <c:showSerName val="0"/>
          <c:showPercent val="0"/>
          <c:showBubbleSize val="0"/>
        </c:dLbls>
        <c:gapWidth val="0"/>
        <c:axId val="553089920"/>
        <c:axId val="545173568"/>
      </c:barChart>
      <c:catAx>
        <c:axId val="55308992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45173568"/>
        <c:crosses val="autoZero"/>
        <c:auto val="0"/>
        <c:lblAlgn val="ctr"/>
        <c:lblOffset val="100"/>
        <c:noMultiLvlLbl val="0"/>
      </c:catAx>
      <c:valAx>
        <c:axId val="545173568"/>
        <c:scaling>
          <c:orientation val="minMax"/>
        </c:scaling>
        <c:delete val="0"/>
        <c:axPos val="l"/>
        <c:majorGridlines>
          <c:spPr>
            <a:ln w="9525" cap="flat" cmpd="sng" algn="ctr">
              <a:solidFill>
                <a:schemeClr val="tx1">
                  <a:lumMod val="15000"/>
                  <a:lumOff val="85000"/>
                </a:schemeClr>
              </a:solidFill>
              <a:round/>
            </a:ln>
            <a:effectLst/>
          </c:spPr>
        </c:majorGridlines>
        <c:numFmt formatCode="#,##0.0;&quot;▲ &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53089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38100</xdr:rowOff>
    </xdr:from>
    <xdr:to>
      <xdr:col>19</xdr:col>
      <xdr:colOff>676275</xdr:colOff>
      <xdr:row>18</xdr:row>
      <xdr:rowOff>142875</xdr:rowOff>
    </xdr:to>
    <xdr:sp macro="" textlink="">
      <xdr:nvSpPr>
        <xdr:cNvPr id="2" name="正方形/長方形 1">
          <a:extLst>
            <a:ext uri="{FF2B5EF4-FFF2-40B4-BE49-F238E27FC236}">
              <a16:creationId xmlns:a16="http://schemas.microsoft.com/office/drawing/2014/main" id="{A36F2722-267F-43B3-9D1A-3B5AB01BC1DD}"/>
            </a:ext>
          </a:extLst>
        </xdr:cNvPr>
        <xdr:cNvSpPr/>
      </xdr:nvSpPr>
      <xdr:spPr>
        <a:xfrm>
          <a:off x="704850" y="190500"/>
          <a:ext cx="13001625" cy="26955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ltLang="ja-JP" sz="1100">
            <a:solidFill>
              <a:schemeClr val="tx1"/>
            </a:solidFill>
            <a:effectLst/>
            <a:latin typeface="+mn-lt"/>
            <a:ea typeface="+mn-ea"/>
            <a:cs typeface="+mn-cs"/>
          </a:endParaRPr>
        </a:p>
        <a:p>
          <a:endParaRPr lang="en-US" altLang="ja-JP" sz="1100">
            <a:solidFill>
              <a:schemeClr val="tx1"/>
            </a:solidFill>
            <a:effectLst/>
            <a:latin typeface="+mn-lt"/>
            <a:ea typeface="+mn-ea"/>
            <a:cs typeface="+mn-cs"/>
          </a:endParaRPr>
        </a:p>
        <a:p>
          <a:r>
            <a:rPr lang="ja-JP" altLang="ja-JP" sz="1100">
              <a:solidFill>
                <a:schemeClr val="tx1"/>
              </a:solidFill>
              <a:effectLst/>
              <a:latin typeface="+mn-lt"/>
              <a:ea typeface="+mn-ea"/>
              <a:cs typeface="+mn-cs"/>
            </a:rPr>
            <a:t>本コンテンツの著作権は内閣府に帰属します。利用者はコンテンツを複製、編集・加工等を自由に利用できます。</a:t>
          </a:r>
        </a:p>
        <a:p>
          <a:r>
            <a:rPr lang="ja-JP" altLang="ja-JP" sz="1100">
              <a:solidFill>
                <a:schemeClr val="tx1"/>
              </a:solidFill>
              <a:effectLst/>
              <a:latin typeface="+mn-lt"/>
              <a:ea typeface="+mn-ea"/>
              <a:cs typeface="+mn-cs"/>
            </a:rPr>
            <a:t>コンテンツを利用する際は出典を記載してください。また編集・加工等した情報を、あたかも内閣府が作成したかのような態様で公表・利用することは禁止します。</a:t>
          </a:r>
        </a:p>
        <a:p>
          <a:r>
            <a:rPr lang="ja-JP" altLang="ja-JP" sz="1100">
              <a:solidFill>
                <a:schemeClr val="tx1"/>
              </a:solidFill>
              <a:effectLst/>
              <a:latin typeface="+mn-lt"/>
              <a:ea typeface="+mn-ea"/>
              <a:cs typeface="+mn-cs"/>
            </a:rPr>
            <a:t>内閣府は、利用者がコンテンツを用いて行う一切の行為（コンテンツを編集・加工等した情報を利用することを含む。）に関係して直接また間接に発生したいかなる損失および損害に対して責任を負いません。</a:t>
          </a:r>
        </a:p>
        <a:p>
          <a:r>
            <a:rPr lang="ja-JP" altLang="ja-JP" sz="1100">
              <a:solidFill>
                <a:schemeClr val="tx1"/>
              </a:solidFill>
              <a:effectLst/>
              <a:latin typeface="+mn-lt"/>
              <a:ea typeface="+mn-ea"/>
              <a:cs typeface="+mn-cs"/>
            </a:rPr>
            <a:t>コンテンツにおける情報の正確性や完全性に関して、いかなる保証または確約などをするものではありません。</a:t>
          </a:r>
        </a:p>
        <a:p>
          <a:r>
            <a:rPr lang="ja-JP" altLang="ja-JP" sz="1100">
              <a:solidFill>
                <a:schemeClr val="tx1"/>
              </a:solidFill>
              <a:effectLst/>
              <a:latin typeface="+mn-lt"/>
              <a:ea typeface="+mn-ea"/>
              <a:cs typeface="+mn-cs"/>
            </a:rPr>
            <a:t>本利用ルールは、著作権法上認められている引用などの利用について、制限するものではありません。</a:t>
          </a:r>
        </a:p>
        <a:p>
          <a:r>
            <a:rPr lang="ja-JP" altLang="ja-JP" sz="1100">
              <a:solidFill>
                <a:schemeClr val="tx1"/>
              </a:solidFill>
              <a:effectLst/>
              <a:latin typeface="+mn-lt"/>
              <a:ea typeface="+mn-ea"/>
              <a:cs typeface="+mn-cs"/>
            </a:rPr>
            <a:t>本利用ルールは、クリエイティブ・コモンズ・ライセンスの表示</a:t>
          </a:r>
          <a:r>
            <a:rPr lang="en-US" altLang="ja-JP" sz="1100">
              <a:solidFill>
                <a:schemeClr val="tx1"/>
              </a:solidFill>
              <a:effectLst/>
              <a:latin typeface="+mn-lt"/>
              <a:ea typeface="+mn-ea"/>
              <a:cs typeface="+mn-cs"/>
            </a:rPr>
            <a:t>4.0 </a:t>
          </a:r>
          <a:r>
            <a:rPr lang="ja-JP" altLang="ja-JP" sz="1100">
              <a:solidFill>
                <a:schemeClr val="tx1"/>
              </a:solidFill>
              <a:effectLst/>
              <a:latin typeface="+mn-lt"/>
              <a:ea typeface="+mn-ea"/>
              <a:cs typeface="+mn-cs"/>
            </a:rPr>
            <a:t>国際（</a:t>
          </a:r>
          <a:r>
            <a:rPr lang="en-US" altLang="ja-JP" sz="1100">
              <a:solidFill>
                <a:schemeClr val="tx1"/>
              </a:solidFill>
              <a:effectLst/>
              <a:latin typeface="+mn-lt"/>
              <a:ea typeface="+mn-ea"/>
              <a:cs typeface="+mn-cs"/>
            </a:rPr>
            <a:t>https://creativecommons.org/licenses/by/4.0/legalcode.ja </a:t>
          </a:r>
          <a:r>
            <a:rPr lang="ja-JP" altLang="ja-JP" sz="1100">
              <a:solidFill>
                <a:schemeClr val="tx1"/>
              </a:solidFill>
              <a:effectLst/>
              <a:latin typeface="+mn-lt"/>
              <a:ea typeface="+mn-ea"/>
              <a:cs typeface="+mn-cs"/>
            </a:rPr>
            <a:t>に規定される著作権利用許諾条件。以下「</a:t>
          </a:r>
          <a:r>
            <a:rPr lang="en-US" altLang="ja-JP" sz="1100">
              <a:solidFill>
                <a:schemeClr val="tx1"/>
              </a:solidFill>
              <a:effectLst/>
              <a:latin typeface="+mn-lt"/>
              <a:ea typeface="+mn-ea"/>
              <a:cs typeface="+mn-cs"/>
            </a:rPr>
            <a:t>CC BY</a:t>
          </a:r>
          <a:r>
            <a:rPr lang="ja-JP" altLang="ja-JP" sz="1100">
              <a:solidFill>
                <a:schemeClr val="tx1"/>
              </a:solidFill>
              <a:effectLst/>
              <a:latin typeface="+mn-lt"/>
              <a:ea typeface="+mn-ea"/>
              <a:cs typeface="+mn-cs"/>
            </a:rPr>
            <a:t>」といいます。）と互換性があり、本利用ルールが適用されるコンテンツは</a:t>
          </a:r>
          <a:r>
            <a:rPr lang="en-US" altLang="ja-JP" sz="1100">
              <a:solidFill>
                <a:schemeClr val="tx1"/>
              </a:solidFill>
              <a:effectLst/>
              <a:latin typeface="+mn-lt"/>
              <a:ea typeface="+mn-ea"/>
              <a:cs typeface="+mn-cs"/>
            </a:rPr>
            <a:t>CC BY</a:t>
          </a:r>
          <a:r>
            <a:rPr lang="ja-JP" altLang="ja-JP" sz="1100">
              <a:solidFill>
                <a:schemeClr val="tx1"/>
              </a:solidFill>
              <a:effectLst/>
              <a:latin typeface="+mn-lt"/>
              <a:ea typeface="+mn-ea"/>
              <a:cs typeface="+mn-cs"/>
            </a:rPr>
            <a:t>に従うことでも利用することができます。</a:t>
          </a:r>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345059</xdr:colOff>
      <xdr:row>8</xdr:row>
      <xdr:rowOff>187379</xdr:rowOff>
    </xdr:from>
    <xdr:to>
      <xdr:col>21</xdr:col>
      <xdr:colOff>297434</xdr:colOff>
      <xdr:row>30</xdr:row>
      <xdr:rowOff>57632</xdr:rowOff>
    </xdr:to>
    <xdr:sp macro="" textlink="">
      <xdr:nvSpPr>
        <xdr:cNvPr id="2" name="二等辺三角形 1">
          <a:extLst>
            <a:ext uri="{FF2B5EF4-FFF2-40B4-BE49-F238E27FC236}">
              <a16:creationId xmlns:a16="http://schemas.microsoft.com/office/drawing/2014/main" id="{8DA8C723-6BF1-2ECE-8BFB-2758709B6991}"/>
            </a:ext>
          </a:extLst>
        </xdr:cNvPr>
        <xdr:cNvSpPr/>
      </xdr:nvSpPr>
      <xdr:spPr>
        <a:xfrm rot="16200000" flipV="1">
          <a:off x="10088013" y="4895211"/>
          <a:ext cx="5285896" cy="632732"/>
        </a:xfrm>
        <a:prstGeom prst="triangle">
          <a:avLst>
            <a:gd name="adj" fmla="val 513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557893</xdr:colOff>
      <xdr:row>18</xdr:row>
      <xdr:rowOff>244927</xdr:rowOff>
    </xdr:from>
    <xdr:to>
      <xdr:col>35</xdr:col>
      <xdr:colOff>536357</xdr:colOff>
      <xdr:row>37</xdr:row>
      <xdr:rowOff>121227</xdr:rowOff>
    </xdr:to>
    <xdr:graphicFrame macro="">
      <xdr:nvGraphicFramePr>
        <xdr:cNvPr id="3" name="グラフ 2">
          <a:extLst>
            <a:ext uri="{FF2B5EF4-FFF2-40B4-BE49-F238E27FC236}">
              <a16:creationId xmlns:a16="http://schemas.microsoft.com/office/drawing/2014/main" id="{06A41445-7209-4D55-9032-B4B2A35545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541082</xdr:colOff>
      <xdr:row>19</xdr:row>
      <xdr:rowOff>62432</xdr:rowOff>
    </xdr:from>
    <xdr:to>
      <xdr:col>24</xdr:col>
      <xdr:colOff>555489</xdr:colOff>
      <xdr:row>20</xdr:row>
      <xdr:rowOff>96050</xdr:rowOff>
    </xdr:to>
    <xdr:sp macro="" textlink="">
      <xdr:nvSpPr>
        <xdr:cNvPr id="4" name="正方形/長方形 3">
          <a:extLst>
            <a:ext uri="{FF2B5EF4-FFF2-40B4-BE49-F238E27FC236}">
              <a16:creationId xmlns:a16="http://schemas.microsoft.com/office/drawing/2014/main" id="{670E7278-BF44-DCA9-0262-2FFA6FB70B3E}"/>
            </a:ext>
          </a:extLst>
        </xdr:cNvPr>
        <xdr:cNvSpPr/>
      </xdr:nvSpPr>
      <xdr:spPr>
        <a:xfrm>
          <a:off x="13971332" y="5137896"/>
          <a:ext cx="1375121" cy="2785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ysClr val="windowText" lastClr="000000"/>
              </a:solidFill>
            </a:rPr>
            <a:t>単位：百万円</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0.89699</cdr:x>
      <cdr:y>0.93151</cdr:y>
    </cdr:from>
    <cdr:to>
      <cdr:x>1</cdr:x>
      <cdr:y>0.99266</cdr:y>
    </cdr:to>
    <cdr:sp macro="" textlink="">
      <cdr:nvSpPr>
        <cdr:cNvPr id="2" name="正方形/長方形 1">
          <a:extLst xmlns:a="http://schemas.openxmlformats.org/drawingml/2006/main">
            <a:ext uri="{FF2B5EF4-FFF2-40B4-BE49-F238E27FC236}">
              <a16:creationId xmlns:a16="http://schemas.microsoft.com/office/drawing/2014/main" id="{670E7278-BF44-DCA9-0262-2FFA6FB70B3E}"/>
            </a:ext>
          </a:extLst>
        </cdr:cNvPr>
        <cdr:cNvSpPr/>
      </cdr:nvSpPr>
      <cdr:spPr>
        <a:xfrm xmlns:a="http://schemas.openxmlformats.org/drawingml/2006/main">
          <a:off x="9278830" y="4267405"/>
          <a:ext cx="1065575" cy="28014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r"/>
          <a:r>
            <a:rPr kumimoji="1" lang="ja-JP" altLang="en-US" sz="900" b="1">
              <a:solidFill>
                <a:sysClr val="windowText" lastClr="000000"/>
              </a:solidFill>
            </a:rPr>
            <a:t>事業年度</a:t>
          </a:r>
        </a:p>
      </cdr:txBody>
    </cdr:sp>
  </cdr:relSizeAnchor>
</c:userShape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5034-9A31-46AA-B969-C00A2BF7D8AA}">
  <dimension ref="A1:U44"/>
  <sheetViews>
    <sheetView showGridLines="0" zoomScale="85" zoomScaleNormal="85" workbookViewId="0"/>
  </sheetViews>
  <sheetFormatPr baseColWidth="10" defaultColWidth="0" defaultRowHeight="12" customHeight="1" zeroHeight="1"/>
  <cols>
    <col min="1" max="21" width="9" style="27" customWidth="1"/>
    <col min="22" max="16384" width="9" style="27" hidden="1"/>
  </cols>
  <sheetData>
    <row r="1"/>
    <row r="2"/>
    <row r="3"/>
    <row r="4"/>
    <row r="5"/>
    <row r="6"/>
    <row r="7"/>
    <row r="8"/>
    <row r="9"/>
    <row r="10"/>
    <row r="11"/>
    <row r="12"/>
    <row r="13"/>
    <row r="14"/>
    <row r="15"/>
    <row r="16"/>
    <row r="17"/>
    <row r="18"/>
    <row r="19" s="27" customFormat="1"/>
    <row r="20" s="27" customFormat="1"/>
    <row r="21" s="27" customFormat="1" hidden="1"/>
    <row r="22" s="27" customFormat="1" hidden="1"/>
    <row r="23" s="27" customFormat="1" hidden="1"/>
    <row r="24" s="27" customFormat="1" hidden="1"/>
    <row r="25" s="27" customFormat="1" hidden="1"/>
    <row r="26" s="27" customFormat="1" hidden="1"/>
    <row r="27" s="27" customFormat="1" hidden="1"/>
    <row r="28" s="27" customFormat="1" hidden="1"/>
    <row r="29" s="27" customFormat="1" hidden="1"/>
    <row r="30" s="27" customFormat="1" hidden="1"/>
    <row r="31" s="27" customFormat="1" hidden="1"/>
    <row r="32" s="27" customFormat="1" hidden="1"/>
    <row r="33" s="27" customFormat="1" hidden="1"/>
    <row r="34" s="27" customFormat="1" hidden="1"/>
    <row r="35" s="27" customFormat="1" hidden="1"/>
    <row r="36" s="27" customFormat="1" hidden="1"/>
    <row r="37" s="27" customFormat="1" hidden="1"/>
    <row r="38" s="27" customFormat="1" hidden="1"/>
    <row r="39" s="27" customFormat="1" hidden="1"/>
    <row r="40" s="27" customFormat="1" hidden="1"/>
    <row r="41" s="27" customFormat="1" hidden="1"/>
    <row r="42" s="27" customFormat="1" hidden="1"/>
    <row r="43" s="27" customFormat="1" hidden="1"/>
    <row r="44" s="27" customFormat="1" hidden="1"/>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DC87-E0C0-4C0E-8826-EE3AF04EDE5C}">
  <sheetPr>
    <tabColor rgb="FFFFFF00"/>
    <pageSetUpPr fitToPage="1"/>
  </sheetPr>
  <dimension ref="A2:K34"/>
  <sheetViews>
    <sheetView showGridLines="0" zoomScale="70" zoomScaleNormal="70" workbookViewId="0"/>
  </sheetViews>
  <sheetFormatPr baseColWidth="10" defaultColWidth="11" defaultRowHeight="17"/>
  <cols>
    <col min="1" max="5" width="11" style="179"/>
    <col min="6" max="6" width="10.83203125" style="179" customWidth="1"/>
    <col min="7" max="7" width="15.83203125" style="179" customWidth="1"/>
    <col min="8" max="8" width="20.83203125" style="179" customWidth="1"/>
    <col min="9" max="9" width="24.6640625" style="179" customWidth="1"/>
    <col min="10" max="10" width="17.1640625" style="179" bestFit="1" customWidth="1"/>
    <col min="11" max="16384" width="11" style="179"/>
  </cols>
  <sheetData>
    <row r="2" spans="1:10" ht="18">
      <c r="A2" s="190" t="s">
        <v>225</v>
      </c>
      <c r="B2" s="190"/>
      <c r="C2" s="190"/>
      <c r="D2" s="190"/>
      <c r="E2" s="190"/>
      <c r="F2" s="190"/>
      <c r="G2" s="190"/>
      <c r="H2" s="190"/>
      <c r="I2" s="190"/>
      <c r="J2" s="190"/>
    </row>
    <row r="3" spans="1:10">
      <c r="A3" s="197" t="s">
        <v>265</v>
      </c>
    </row>
    <row r="4" spans="1:10">
      <c r="G4" s="180" t="s">
        <v>0</v>
      </c>
      <c r="H4" s="180" t="s">
        <v>237</v>
      </c>
      <c r="I4" s="180" t="s">
        <v>238</v>
      </c>
      <c r="J4" s="180" t="s">
        <v>26</v>
      </c>
    </row>
    <row r="5" spans="1:10">
      <c r="A5" s="179" t="s">
        <v>220</v>
      </c>
      <c r="F5" s="179" t="s">
        <v>8</v>
      </c>
      <c r="G5" s="191">
        <f>SUM(G6:G7)</f>
        <v>3000</v>
      </c>
      <c r="H5" s="14">
        <v>0.1</v>
      </c>
      <c r="I5" s="14">
        <v>0.2</v>
      </c>
    </row>
    <row r="6" spans="1:10">
      <c r="C6" s="179" t="s">
        <v>221</v>
      </c>
      <c r="F6" s="179" t="s">
        <v>8</v>
      </c>
      <c r="G6" s="192">
        <v>0</v>
      </c>
    </row>
    <row r="7" spans="1:10" ht="18" thickBot="1">
      <c r="C7" s="179" t="s">
        <v>222</v>
      </c>
      <c r="F7" s="179" t="s">
        <v>8</v>
      </c>
      <c r="G7" s="192">
        <v>3000</v>
      </c>
    </row>
    <row r="8" spans="1:10" ht="18" thickTop="1">
      <c r="B8" s="217" t="s">
        <v>97</v>
      </c>
      <c r="C8" s="217"/>
      <c r="D8" s="217"/>
      <c r="E8" s="217"/>
      <c r="F8" s="217" t="s">
        <v>8</v>
      </c>
      <c r="G8" s="218">
        <f>SUM(G5)</f>
        <v>3000</v>
      </c>
      <c r="H8" s="217"/>
      <c r="I8" s="217"/>
      <c r="J8" s="217"/>
    </row>
    <row r="10" spans="1:10">
      <c r="A10" s="179" t="s">
        <v>228</v>
      </c>
      <c r="H10" s="185"/>
      <c r="I10" s="185"/>
      <c r="J10" s="185"/>
    </row>
    <row r="11" spans="1:10">
      <c r="A11" s="197"/>
      <c r="B11" s="179" t="s">
        <v>229</v>
      </c>
      <c r="F11" s="179" t="s">
        <v>8</v>
      </c>
      <c r="G11" s="191">
        <f>SUM(G12:G13)</f>
        <v>30</v>
      </c>
      <c r="H11" s="14">
        <v>0.1</v>
      </c>
      <c r="I11" s="14">
        <v>0.2</v>
      </c>
      <c r="J11" s="14">
        <v>0.02</v>
      </c>
    </row>
    <row r="12" spans="1:10">
      <c r="A12" s="197"/>
      <c r="C12" s="179" t="s">
        <v>221</v>
      </c>
      <c r="F12" s="179" t="s">
        <v>8</v>
      </c>
      <c r="G12" s="193">
        <v>0</v>
      </c>
    </row>
    <row r="13" spans="1:10">
      <c r="C13" s="179" t="s">
        <v>222</v>
      </c>
      <c r="F13" s="179" t="s">
        <v>8</v>
      </c>
      <c r="G13" s="193">
        <v>30</v>
      </c>
    </row>
    <row r="14" spans="1:10">
      <c r="B14" s="179" t="s">
        <v>230</v>
      </c>
      <c r="F14" s="179" t="s">
        <v>8</v>
      </c>
      <c r="G14" s="191">
        <f>SUM(G15:G16)</f>
        <v>15</v>
      </c>
      <c r="H14" s="14">
        <v>0.1</v>
      </c>
      <c r="I14" s="14">
        <v>0.2</v>
      </c>
      <c r="J14" s="14">
        <v>0.02</v>
      </c>
    </row>
    <row r="15" spans="1:10">
      <c r="C15" s="179" t="s">
        <v>221</v>
      </c>
      <c r="F15" s="179" t="s">
        <v>8</v>
      </c>
      <c r="G15" s="193">
        <v>0</v>
      </c>
    </row>
    <row r="16" spans="1:10">
      <c r="C16" s="179" t="s">
        <v>222</v>
      </c>
      <c r="F16" s="179" t="s">
        <v>8</v>
      </c>
      <c r="G16" s="193">
        <v>15</v>
      </c>
    </row>
    <row r="17" spans="2:11">
      <c r="B17" s="179" t="s">
        <v>231</v>
      </c>
      <c r="F17" s="179" t="s">
        <v>8</v>
      </c>
      <c r="G17" s="191">
        <f>SUM(G18:G19)</f>
        <v>5</v>
      </c>
      <c r="H17" s="14">
        <v>0.1</v>
      </c>
      <c r="I17" s="14">
        <v>0.2</v>
      </c>
      <c r="J17" s="14">
        <v>0.02</v>
      </c>
    </row>
    <row r="18" spans="2:11">
      <c r="C18" s="179" t="s">
        <v>221</v>
      </c>
      <c r="F18" s="179" t="s">
        <v>8</v>
      </c>
      <c r="G18" s="193">
        <v>0</v>
      </c>
    </row>
    <row r="19" spans="2:11">
      <c r="C19" s="179" t="s">
        <v>222</v>
      </c>
      <c r="F19" s="179" t="s">
        <v>8</v>
      </c>
      <c r="G19" s="193">
        <v>5</v>
      </c>
    </row>
    <row r="20" spans="2:11">
      <c r="B20" s="179" t="s">
        <v>232</v>
      </c>
      <c r="F20" s="179" t="s">
        <v>8</v>
      </c>
      <c r="G20" s="191">
        <f>SUM(G21:G22)</f>
        <v>0</v>
      </c>
      <c r="H20" s="14">
        <v>0.1</v>
      </c>
      <c r="I20" s="14">
        <v>0.2</v>
      </c>
      <c r="J20" s="14">
        <v>0.02</v>
      </c>
    </row>
    <row r="21" spans="2:11">
      <c r="C21" s="179" t="s">
        <v>221</v>
      </c>
      <c r="F21" s="179" t="s">
        <v>8</v>
      </c>
      <c r="G21" s="193">
        <v>0</v>
      </c>
    </row>
    <row r="22" spans="2:11">
      <c r="C22" s="179" t="s">
        <v>222</v>
      </c>
      <c r="F22" s="179" t="s">
        <v>8</v>
      </c>
      <c r="G22" s="193">
        <v>0</v>
      </c>
    </row>
    <row r="23" spans="2:11">
      <c r="B23" s="179" t="s">
        <v>236</v>
      </c>
      <c r="F23" s="179" t="s">
        <v>8</v>
      </c>
      <c r="G23" s="191">
        <f>SUM(G24:G25)</f>
        <v>0</v>
      </c>
      <c r="H23" s="14">
        <v>0.1</v>
      </c>
      <c r="I23" s="14">
        <v>0.2</v>
      </c>
      <c r="J23" s="14">
        <v>0.02</v>
      </c>
    </row>
    <row r="24" spans="2:11">
      <c r="C24" s="179" t="s">
        <v>221</v>
      </c>
      <c r="F24" s="179" t="s">
        <v>8</v>
      </c>
      <c r="G24" s="193">
        <v>0</v>
      </c>
    </row>
    <row r="25" spans="2:11" ht="18" thickBot="1">
      <c r="C25" s="179" t="s">
        <v>222</v>
      </c>
      <c r="F25" s="179" t="s">
        <v>8</v>
      </c>
      <c r="G25" s="216">
        <v>0</v>
      </c>
    </row>
    <row r="26" spans="2:11" ht="18" thickTop="1">
      <c r="B26" s="217" t="s">
        <v>97</v>
      </c>
      <c r="C26" s="217"/>
      <c r="D26" s="217"/>
      <c r="E26" s="217"/>
      <c r="F26" s="217" t="s">
        <v>8</v>
      </c>
      <c r="G26" s="218">
        <f>SUM(G11,G14,G17,G20,G23)</f>
        <v>50</v>
      </c>
      <c r="H26" s="217"/>
      <c r="I26" s="217"/>
      <c r="J26" s="217"/>
    </row>
    <row r="27" spans="2:11">
      <c r="C27" s="179" t="s">
        <v>239</v>
      </c>
      <c r="F27" s="179" t="s">
        <v>8</v>
      </c>
      <c r="G27" s="194">
        <f>SUM(G12,G15,G18,G21,G24)</f>
        <v>0</v>
      </c>
      <c r="H27" s="178"/>
      <c r="I27" s="178"/>
      <c r="J27" s="178"/>
    </row>
    <row r="28" spans="2:11">
      <c r="C28" s="179" t="s">
        <v>240</v>
      </c>
      <c r="F28" s="179" t="s">
        <v>8</v>
      </c>
      <c r="G28" s="194">
        <f>SUM(G13,G16,G19,G22,G25)</f>
        <v>50</v>
      </c>
      <c r="H28" s="178"/>
      <c r="I28" s="178"/>
      <c r="J28" s="178"/>
    </row>
    <row r="30" spans="2:11">
      <c r="H30" s="180" t="s">
        <v>226</v>
      </c>
      <c r="I30" s="180" t="s">
        <v>227</v>
      </c>
      <c r="J30" s="180" t="s">
        <v>223</v>
      </c>
      <c r="K30" s="196"/>
    </row>
    <row r="31" spans="2:11">
      <c r="H31" s="181"/>
      <c r="I31" s="181"/>
    </row>
    <row r="32" spans="2:11">
      <c r="G32" s="186" t="s">
        <v>241</v>
      </c>
      <c r="H32" s="195">
        <f>SUM(SUMPRODUCT(G5,H5))/G5</f>
        <v>0.1</v>
      </c>
      <c r="I32" s="195">
        <f>SUM(SUMPRODUCT(G5,I5))/G5</f>
        <v>0.2</v>
      </c>
      <c r="J32" s="181"/>
    </row>
    <row r="33" spans="7:10">
      <c r="G33" s="186" t="s">
        <v>242</v>
      </c>
      <c r="H33" s="195">
        <f>SUM(SUMPRODUCT(G11,H11),SUMPRODUCT(G14,H14),SUMPRODUCT(G17,H17),SUMPRODUCT(G20,H20),SUMPRODUCT(G23,H23))/G26</f>
        <v>0.1</v>
      </c>
      <c r="I33" s="195">
        <f>SUM(SUMPRODUCT(G11,I11),SUMPRODUCT(G14,I14),SUMPRODUCT(G17,I17),SUMPRODUCT(G20,I20),SUMPRODUCT(G23,I23))/G26</f>
        <v>0.2</v>
      </c>
    </row>
    <row r="34" spans="7:10">
      <c r="G34" s="186" t="s">
        <v>26</v>
      </c>
      <c r="H34" s="181"/>
      <c r="I34" s="181"/>
      <c r="J34" s="195">
        <f>SUM(SUMPRODUCT(G11,J11),SUMPRODUCT(G14,J14),SUMPRODUCT(G17,J17),SUMPRODUCT(G20,J20),SUMPRODUCT(G23,J23))/G26</f>
        <v>1.9999999999999997E-2</v>
      </c>
    </row>
  </sheetData>
  <phoneticPr fontId="2"/>
  <pageMargins left="0.7" right="0.7" top="0.75" bottom="0.75" header="0.3" footer="0.3"/>
  <pageSetup paperSize="8"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031BB-E577-4241-B29B-2EB67BE4E003}">
  <sheetPr>
    <tabColor rgb="FFFFC000"/>
    <pageSetUpPr fitToPage="1"/>
  </sheetPr>
  <dimension ref="A1:CM113"/>
  <sheetViews>
    <sheetView showGridLines="0" view="pageBreakPreview" topLeftCell="V1" zoomScale="70" zoomScaleNormal="40" zoomScaleSheetLayoutView="70" workbookViewId="0">
      <selection activeCell="AC19" sqref="AC19"/>
    </sheetView>
  </sheetViews>
  <sheetFormatPr baseColWidth="10" defaultColWidth="0" defaultRowHeight="18" zeroHeight="1" outlineLevelCol="1"/>
  <cols>
    <col min="1" max="1" width="4.83203125" customWidth="1"/>
    <col min="2" max="2" width="40.6640625" customWidth="1"/>
    <col min="3" max="3" width="40.1640625" bestFit="1" customWidth="1"/>
    <col min="4" max="4" width="7.33203125" customWidth="1"/>
    <col min="5" max="5" width="8.5" bestFit="1" customWidth="1"/>
    <col min="6" max="6" width="11.5" customWidth="1"/>
    <col min="7" max="7" width="2.5" customWidth="1"/>
    <col min="8" max="8" width="43.6640625" customWidth="1"/>
    <col min="9" max="9" width="1.6640625" customWidth="1"/>
    <col min="10" max="11" width="12.5" customWidth="1" outlineLevel="1"/>
    <col min="12" max="12" width="1.83203125" customWidth="1" outlineLevel="1"/>
    <col min="13" max="13" width="42.1640625" customWidth="1" outlineLevel="1"/>
    <col min="14" max="14" width="11.1640625" style="19" customWidth="1" outlineLevel="1"/>
    <col min="15" max="16" width="24.5" customWidth="1" outlineLevel="1"/>
    <col min="17" max="17" width="4.6640625" customWidth="1" outlineLevel="1"/>
    <col min="18" max="18" width="10" customWidth="1" outlineLevel="1"/>
    <col min="19" max="19" width="19.1640625" customWidth="1" outlineLevel="1"/>
    <col min="20" max="20" width="7.5" customWidth="1" outlineLevel="1"/>
    <col min="21" max="21" width="24.5" customWidth="1" outlineLevel="1"/>
    <col min="22" max="22" width="12" customWidth="1"/>
    <col min="23" max="23" width="9.6640625" customWidth="1"/>
    <col min="24" max="24" width="21.5" customWidth="1"/>
    <col min="25" max="26" width="10.83203125" customWidth="1"/>
    <col min="27" max="36" width="10.83203125" style="19" customWidth="1"/>
    <col min="37" max="38" width="10.83203125" style="31" customWidth="1"/>
    <col min="39" max="39" width="12" style="31" customWidth="1"/>
    <col min="40" max="40" width="1.6640625" style="31" customWidth="1"/>
    <col min="41" max="41" width="10.33203125" style="31" customWidth="1"/>
    <col min="42" max="45" width="10.33203125" style="19" customWidth="1"/>
    <col min="46" max="49" width="16" style="19" customWidth="1"/>
    <col min="50" max="54" width="10.6640625" style="19" customWidth="1"/>
    <col min="55" max="56" width="12" style="19" customWidth="1"/>
    <col min="57" max="57" width="1.6640625" style="19" customWidth="1"/>
    <col min="58" max="58" width="12" style="31" customWidth="1"/>
    <col min="59" max="59" width="1.5" style="19" customWidth="1"/>
    <col min="60" max="63" width="16" style="19" customWidth="1"/>
    <col min="64" max="70" width="12" style="19" customWidth="1"/>
    <col min="71" max="71" width="16.83203125" style="19" customWidth="1"/>
    <col min="72" max="74" width="12" style="19" customWidth="1"/>
    <col min="75" max="75" width="2.1640625" style="19" customWidth="1"/>
    <col min="76" max="76" width="12" style="19" customWidth="1"/>
    <col min="77" max="77" width="21" style="19" bestFit="1" customWidth="1"/>
    <col min="78" max="78" width="3.33203125" style="19" hidden="1" customWidth="1"/>
    <col min="79" max="79" width="0" style="19" hidden="1" customWidth="1"/>
    <col min="80" max="91" width="0" hidden="1" customWidth="1"/>
    <col min="92" max="16384" width="9" hidden="1"/>
  </cols>
  <sheetData>
    <row r="1" spans="1:79" ht="15.75" customHeight="1"/>
    <row r="2" spans="1:79">
      <c r="B2" s="4" t="s">
        <v>262</v>
      </c>
      <c r="Y2" s="242"/>
      <c r="Z2" s="242"/>
      <c r="AA2" s="33"/>
      <c r="AB2" s="33"/>
      <c r="AC2" s="33"/>
      <c r="AD2" s="33"/>
      <c r="AE2" s="33"/>
      <c r="AF2" s="33"/>
      <c r="AG2" s="33"/>
      <c r="AH2" s="33"/>
      <c r="AI2" s="33"/>
      <c r="AJ2" s="33"/>
      <c r="AK2" s="234"/>
      <c r="AL2" s="234"/>
      <c r="AM2" s="234"/>
      <c r="AO2" s="234"/>
      <c r="AP2" s="33"/>
      <c r="AQ2" s="33"/>
      <c r="AR2" s="33"/>
      <c r="AS2" s="33"/>
      <c r="AT2" s="33"/>
      <c r="AU2" s="33"/>
      <c r="AV2" s="33"/>
      <c r="AW2" s="33"/>
      <c r="AX2" s="33"/>
      <c r="AY2" s="33"/>
      <c r="AZ2" s="33"/>
      <c r="BA2" s="33"/>
      <c r="BB2" s="33"/>
      <c r="BC2" s="33"/>
      <c r="BD2" s="33"/>
      <c r="BH2" s="33"/>
      <c r="BI2" s="33"/>
      <c r="BJ2" s="33"/>
      <c r="BK2" s="33"/>
      <c r="BL2" s="33"/>
      <c r="BM2" s="33"/>
      <c r="BN2" s="33"/>
      <c r="BO2" s="33"/>
      <c r="BP2" s="33"/>
      <c r="BQ2" s="33"/>
      <c r="BR2" s="33"/>
      <c r="BS2" s="33"/>
      <c r="BT2" s="33"/>
      <c r="BU2" s="33"/>
      <c r="BV2" s="33"/>
    </row>
    <row r="3" spans="1:79">
      <c r="B3" s="270" t="s">
        <v>263</v>
      </c>
      <c r="Y3" s="242"/>
      <c r="Z3" s="242"/>
      <c r="AA3" s="33"/>
      <c r="AB3" s="33"/>
      <c r="AC3" s="33"/>
      <c r="AD3" s="33"/>
      <c r="AE3" s="33"/>
      <c r="AF3" s="33"/>
      <c r="AG3" s="33"/>
      <c r="AH3" s="33"/>
      <c r="AI3" s="33"/>
      <c r="AJ3" s="33"/>
      <c r="AK3" s="234"/>
      <c r="AL3" s="234"/>
      <c r="AM3" s="234"/>
      <c r="AO3" s="234"/>
      <c r="AP3" s="33"/>
      <c r="AQ3" s="33"/>
      <c r="AR3" s="33"/>
      <c r="AS3" s="33"/>
      <c r="AT3" s="33"/>
      <c r="AU3" s="33"/>
      <c r="AV3" s="33"/>
      <c r="AW3" s="33"/>
      <c r="AX3" s="33"/>
      <c r="AY3" s="33"/>
      <c r="AZ3" s="33"/>
      <c r="BA3" s="33"/>
      <c r="BB3" s="33"/>
      <c r="BC3" s="33"/>
      <c r="BD3" s="33"/>
      <c r="BH3" s="33"/>
      <c r="BI3" s="33"/>
      <c r="BJ3" s="33"/>
      <c r="BK3" s="33"/>
      <c r="BL3" s="33"/>
      <c r="BM3" s="33"/>
      <c r="BN3" s="33"/>
      <c r="BO3" s="33"/>
      <c r="BP3" s="33"/>
      <c r="BQ3" s="33"/>
      <c r="BR3" s="33"/>
      <c r="BS3" s="33"/>
      <c r="BT3" s="33"/>
      <c r="BU3" s="33"/>
      <c r="BV3" s="33"/>
    </row>
    <row r="4" spans="1:79">
      <c r="B4" s="271" t="s">
        <v>261</v>
      </c>
      <c r="Y4" s="242"/>
      <c r="Z4" s="242"/>
      <c r="AA4" s="33"/>
      <c r="AB4" s="33"/>
      <c r="AC4" s="33"/>
      <c r="AD4" s="33"/>
      <c r="AE4" s="33"/>
      <c r="AF4" s="33"/>
      <c r="AG4" s="33"/>
      <c r="AH4" s="33"/>
      <c r="AI4" s="33"/>
      <c r="AJ4" s="33"/>
      <c r="AK4" s="234"/>
      <c r="AL4" s="234"/>
      <c r="AM4" s="234"/>
      <c r="AO4" s="234"/>
      <c r="AP4" s="33"/>
      <c r="AQ4" s="33"/>
      <c r="AR4" s="33"/>
      <c r="AS4" s="33"/>
      <c r="AT4" s="33"/>
      <c r="AU4" s="33"/>
      <c r="AV4" s="33"/>
      <c r="AW4" s="33"/>
      <c r="AX4" s="33"/>
      <c r="AY4" s="33"/>
      <c r="AZ4" s="33"/>
      <c r="BA4" s="33"/>
      <c r="BB4" s="33"/>
      <c r="BC4" s="33"/>
      <c r="BD4" s="33"/>
      <c r="BH4" s="33"/>
      <c r="BI4" s="33"/>
      <c r="BJ4" s="33"/>
      <c r="BK4" s="33"/>
      <c r="BL4" s="33"/>
      <c r="BM4" s="33"/>
      <c r="BN4" s="33"/>
      <c r="BO4" s="33"/>
      <c r="BP4" s="33"/>
      <c r="BQ4" s="33"/>
      <c r="BR4" s="33"/>
      <c r="BS4" s="33"/>
      <c r="BT4" s="33"/>
      <c r="BU4" s="33"/>
      <c r="BV4" s="33"/>
    </row>
    <row r="5" spans="1:79" ht="15.75" customHeight="1">
      <c r="B5" s="272" t="s">
        <v>260</v>
      </c>
      <c r="Y5" s="242"/>
      <c r="Z5" s="242"/>
      <c r="AA5" s="33"/>
      <c r="AB5" s="33"/>
      <c r="AC5" s="33"/>
      <c r="AD5" s="33"/>
      <c r="AE5" s="33"/>
      <c r="AF5" s="33"/>
      <c r="AG5" s="33"/>
      <c r="AH5" s="33"/>
      <c r="AI5" s="33"/>
      <c r="AJ5" s="33"/>
      <c r="AK5" s="234"/>
      <c r="AL5" s="234"/>
      <c r="AM5" s="234"/>
      <c r="AO5" s="234"/>
      <c r="AP5" s="33"/>
      <c r="AQ5" s="33"/>
      <c r="AR5" s="33"/>
      <c r="AS5" s="33"/>
      <c r="AT5" s="33"/>
      <c r="AU5" s="33"/>
      <c r="AV5" s="33"/>
      <c r="AW5" s="33"/>
      <c r="AX5" s="33"/>
      <c r="AY5" s="33"/>
      <c r="AZ5" s="33"/>
      <c r="BA5" s="33"/>
      <c r="BB5" s="33"/>
      <c r="BC5" s="33"/>
      <c r="BD5" s="33"/>
      <c r="BH5" s="33"/>
      <c r="BI5" s="33"/>
      <c r="BJ5" s="33"/>
      <c r="BK5" s="33"/>
      <c r="BL5" s="33"/>
      <c r="BM5" s="33"/>
      <c r="BN5" s="33"/>
      <c r="BO5" s="33"/>
      <c r="BP5" s="33"/>
      <c r="BQ5" s="33"/>
      <c r="BR5" s="33"/>
      <c r="BS5" s="33"/>
      <c r="BT5" s="33"/>
      <c r="BU5" s="33"/>
      <c r="BV5" s="33"/>
    </row>
    <row r="6" spans="1:79" ht="15.75" customHeight="1">
      <c r="Y6" s="242"/>
      <c r="Z6" s="242"/>
      <c r="AA6" s="33"/>
      <c r="AB6" s="33"/>
      <c r="AC6" s="33"/>
      <c r="AD6" s="33"/>
      <c r="AE6" s="33"/>
      <c r="AF6" s="33"/>
      <c r="AG6" s="33"/>
      <c r="AH6" s="33"/>
      <c r="AI6" s="33"/>
      <c r="AJ6" s="33"/>
      <c r="AK6" s="234"/>
      <c r="AL6" s="234"/>
      <c r="AM6" s="234"/>
      <c r="AO6" s="234"/>
      <c r="AP6" s="33"/>
      <c r="AQ6" s="33"/>
      <c r="AR6" s="33"/>
      <c r="AS6" s="33"/>
      <c r="AT6" s="33"/>
      <c r="AU6" s="33"/>
      <c r="AV6" s="33"/>
      <c r="AW6" s="33"/>
      <c r="AX6" s="33"/>
      <c r="AY6" s="33"/>
      <c r="AZ6" s="33"/>
      <c r="BA6" s="33"/>
      <c r="BB6" s="33"/>
      <c r="BC6" s="33"/>
      <c r="BD6" s="33"/>
      <c r="BH6" s="33"/>
      <c r="BI6" s="33"/>
      <c r="BJ6" s="33"/>
      <c r="BK6" s="33"/>
      <c r="BL6" s="33"/>
      <c r="BM6" s="33"/>
      <c r="BN6" s="33"/>
      <c r="BO6" s="33"/>
      <c r="BP6" s="33"/>
      <c r="BQ6" s="33"/>
      <c r="BR6" s="33"/>
      <c r="BS6" s="33"/>
      <c r="BT6" s="33"/>
      <c r="BU6" s="33"/>
      <c r="BV6" s="33"/>
    </row>
    <row r="7" spans="1:79" s="4" customFormat="1" ht="15.75" customHeight="1">
      <c r="A7" s="25" t="s">
        <v>45</v>
      </c>
      <c r="B7" s="25"/>
      <c r="C7" s="25"/>
      <c r="D7" s="25"/>
      <c r="E7" s="25"/>
      <c r="F7" s="25"/>
      <c r="G7" s="25"/>
      <c r="H7" s="25"/>
      <c r="I7" s="25"/>
      <c r="J7" s="24" t="s">
        <v>46</v>
      </c>
      <c r="K7" s="24"/>
      <c r="L7" s="24"/>
      <c r="M7" s="24"/>
      <c r="N7" s="85"/>
      <c r="O7" s="24"/>
      <c r="P7" s="24"/>
      <c r="Q7" s="24"/>
      <c r="R7" s="24"/>
      <c r="S7" s="24"/>
      <c r="T7" s="24"/>
      <c r="U7" s="24"/>
      <c r="V7" s="22" t="s">
        <v>22</v>
      </c>
      <c r="W7" s="22"/>
      <c r="X7" s="22"/>
      <c r="Y7" s="22"/>
      <c r="Z7" s="22"/>
      <c r="AA7" s="23"/>
      <c r="AB7" s="23"/>
      <c r="AC7" s="23"/>
      <c r="AD7" s="23"/>
      <c r="AE7" s="23"/>
      <c r="AF7" s="23"/>
      <c r="AG7" s="23"/>
      <c r="AH7" s="23"/>
      <c r="AI7" s="23"/>
      <c r="AJ7" s="23"/>
      <c r="AK7" s="30"/>
      <c r="AL7" s="30"/>
      <c r="AM7" s="30"/>
      <c r="AN7" s="30"/>
      <c r="AO7" s="30"/>
      <c r="AP7" s="23"/>
      <c r="AQ7" s="23"/>
      <c r="AR7" s="23"/>
      <c r="AS7" s="23"/>
      <c r="AT7" s="23"/>
      <c r="AU7" s="23"/>
      <c r="AV7" s="23"/>
      <c r="AW7" s="23"/>
      <c r="AX7" s="23"/>
      <c r="AY7" s="23"/>
      <c r="AZ7" s="23"/>
      <c r="BA7" s="23"/>
      <c r="BB7" s="23"/>
      <c r="BC7" s="23"/>
      <c r="BD7" s="23"/>
      <c r="BE7" s="23"/>
      <c r="BF7" s="30"/>
      <c r="BG7" s="23"/>
      <c r="BH7" s="23"/>
      <c r="BI7" s="23"/>
      <c r="BJ7" s="23"/>
      <c r="BK7" s="23"/>
      <c r="BL7" s="23"/>
      <c r="BM7" s="23"/>
      <c r="BN7" s="23"/>
      <c r="BO7" s="23"/>
      <c r="BP7" s="23"/>
      <c r="BQ7" s="23"/>
      <c r="BR7" s="23"/>
      <c r="BS7" s="23"/>
      <c r="BT7" s="23"/>
      <c r="BU7" s="23"/>
      <c r="BV7" s="23"/>
      <c r="BW7" s="23"/>
      <c r="BX7" s="23"/>
      <c r="BY7" s="23"/>
      <c r="BZ7" s="23"/>
      <c r="CA7" s="23"/>
    </row>
    <row r="8" spans="1:79" s="4" customFormat="1" ht="15.75" customHeight="1">
      <c r="A8" s="273"/>
      <c r="B8" s="273" t="s">
        <v>266</v>
      </c>
      <c r="C8" s="257"/>
      <c r="D8" s="257"/>
      <c r="E8" s="257"/>
      <c r="F8" s="257"/>
      <c r="G8" s="257"/>
      <c r="H8" s="257"/>
      <c r="I8" s="257"/>
      <c r="N8" s="5"/>
      <c r="AA8" s="5"/>
      <c r="AB8" s="5"/>
      <c r="AC8" s="5"/>
      <c r="AD8" s="5"/>
      <c r="AE8" s="5"/>
      <c r="AF8" s="5"/>
      <c r="AG8" s="5"/>
      <c r="AH8" s="5"/>
      <c r="AI8" s="5"/>
      <c r="AJ8" s="5"/>
      <c r="AK8" s="260"/>
      <c r="AL8" s="260"/>
      <c r="AM8" s="260"/>
      <c r="AN8" s="260"/>
      <c r="AO8" s="260"/>
      <c r="AP8" s="5"/>
      <c r="AQ8" s="5"/>
      <c r="AR8" s="5"/>
      <c r="AS8" s="5"/>
      <c r="AT8" s="5"/>
      <c r="AU8" s="5"/>
      <c r="AV8" s="5"/>
      <c r="AW8" s="5"/>
      <c r="AX8" s="5"/>
      <c r="AY8" s="5"/>
      <c r="AZ8" s="5"/>
      <c r="BA8" s="5"/>
      <c r="BB8" s="5"/>
      <c r="BC8" s="5"/>
      <c r="BD8" s="5"/>
      <c r="BE8" s="5"/>
      <c r="BF8" s="260"/>
      <c r="BG8" s="5"/>
      <c r="BH8" s="5"/>
      <c r="BI8" s="5"/>
      <c r="BJ8" s="5"/>
      <c r="BK8" s="5"/>
      <c r="BL8" s="5"/>
      <c r="BM8" s="5"/>
      <c r="BN8" s="5"/>
      <c r="BO8" s="5"/>
      <c r="BP8" s="5"/>
      <c r="BQ8" s="5"/>
      <c r="BR8" s="5"/>
      <c r="BS8" s="5"/>
      <c r="BT8" s="5"/>
      <c r="BU8" s="5"/>
      <c r="BV8" s="5"/>
      <c r="BW8" s="5"/>
      <c r="BX8" s="5"/>
      <c r="BY8" s="5"/>
      <c r="BZ8" s="5"/>
      <c r="CA8" s="5"/>
    </row>
    <row r="9" spans="1:79" ht="15.75" customHeight="1" thickBot="1">
      <c r="W9" s="55" t="s">
        <v>15</v>
      </c>
      <c r="X9" s="50"/>
      <c r="Y9" s="50"/>
      <c r="AC9" s="8" t="s">
        <v>47</v>
      </c>
    </row>
    <row r="10" spans="1:79" ht="19">
      <c r="D10" t="s">
        <v>19</v>
      </c>
      <c r="K10" s="19"/>
      <c r="L10" s="19"/>
      <c r="M10" s="19"/>
      <c r="N10" s="19" t="s">
        <v>19</v>
      </c>
      <c r="O10" s="19"/>
      <c r="P10" s="19"/>
      <c r="Q10" s="19" t="s">
        <v>20</v>
      </c>
      <c r="R10" s="19"/>
      <c r="S10" s="19"/>
      <c r="T10" s="19"/>
      <c r="U10" s="19"/>
      <c r="W10" s="10" t="s">
        <v>16</v>
      </c>
      <c r="X10" s="263" t="s">
        <v>245</v>
      </c>
      <c r="Y10" s="12" t="s">
        <v>6</v>
      </c>
      <c r="AC10" s="9" t="s">
        <v>17</v>
      </c>
      <c r="BQ10" s="5"/>
      <c r="BR10" s="5"/>
      <c r="BS10" s="5"/>
      <c r="BT10" s="5"/>
      <c r="BY10" s="5"/>
    </row>
    <row r="11" spans="1:79" ht="15.75" customHeight="1" thickBot="1">
      <c r="A11" s="4" t="s">
        <v>60</v>
      </c>
      <c r="J11" s="4" t="s">
        <v>60</v>
      </c>
      <c r="W11" s="173">
        <f>AL58-BC58</f>
        <v>-56.75</v>
      </c>
      <c r="X11" s="174">
        <f>AM58-BD58</f>
        <v>-50.05276257378091</v>
      </c>
      <c r="Y11" s="57">
        <f>X11/AM58</f>
        <v>4.085683941905198E-2</v>
      </c>
      <c r="AC11" s="167" t="str">
        <f>IFERROR(XIRR(BV17:BV56,V17:V56),"N/A")</f>
        <v>N/A</v>
      </c>
      <c r="AD11" s="56" t="s">
        <v>78</v>
      </c>
      <c r="BQ11" s="5"/>
      <c r="BR11" s="5"/>
      <c r="BS11" s="5"/>
      <c r="BT11" s="5"/>
      <c r="BY11" s="5"/>
    </row>
    <row r="12" spans="1:79" ht="15.75" customHeight="1">
      <c r="AA12"/>
      <c r="AB12"/>
      <c r="AC12"/>
      <c r="AD12"/>
    </row>
    <row r="13" spans="1:79" ht="15.75" customHeight="1">
      <c r="B13" t="s">
        <v>150</v>
      </c>
      <c r="F13" s="29" t="s">
        <v>153</v>
      </c>
      <c r="J13" t="s">
        <v>150</v>
      </c>
      <c r="O13" t="s">
        <v>151</v>
      </c>
      <c r="P13" t="s">
        <v>152</v>
      </c>
      <c r="Q13" t="s">
        <v>153</v>
      </c>
      <c r="V13" s="5" t="s">
        <v>244</v>
      </c>
      <c r="W13" s="5" t="s">
        <v>9</v>
      </c>
      <c r="X13" s="5" t="s">
        <v>3</v>
      </c>
      <c r="Y13" s="59" t="s">
        <v>0</v>
      </c>
      <c r="Z13" s="60"/>
      <c r="AA13" s="60"/>
      <c r="AB13" s="60"/>
      <c r="AC13" s="60"/>
      <c r="AD13" s="60"/>
      <c r="AE13" s="60"/>
      <c r="AF13" s="60"/>
      <c r="AG13" s="60"/>
      <c r="AH13" s="60"/>
      <c r="AI13" s="60"/>
      <c r="AJ13" s="103"/>
      <c r="AK13" s="146" t="s">
        <v>38</v>
      </c>
      <c r="AL13" s="147"/>
      <c r="AM13" s="96"/>
      <c r="AN13" s="32"/>
      <c r="AO13" s="208" t="s">
        <v>1</v>
      </c>
      <c r="AP13" s="209"/>
      <c r="AQ13" s="209"/>
      <c r="AR13" s="209"/>
      <c r="AS13" s="209"/>
      <c r="AT13" s="209"/>
      <c r="AU13" s="209"/>
      <c r="AV13" s="209"/>
      <c r="AW13" s="209"/>
      <c r="AX13" s="209"/>
      <c r="AY13" s="209"/>
      <c r="AZ13" s="209"/>
      <c r="BA13" s="209"/>
      <c r="BB13" s="209"/>
      <c r="BC13" s="210"/>
      <c r="BD13" s="211" t="s">
        <v>14</v>
      </c>
      <c r="BE13" s="33"/>
      <c r="BF13" s="19"/>
      <c r="BH13" s="65" t="s">
        <v>2</v>
      </c>
      <c r="BI13" s="66"/>
      <c r="BJ13" s="66"/>
      <c r="BK13" s="66"/>
      <c r="BL13" s="66"/>
      <c r="BM13" s="66"/>
      <c r="BN13" s="66"/>
      <c r="BO13" s="66"/>
      <c r="BP13" s="66"/>
      <c r="BQ13" s="66"/>
      <c r="BR13" s="66"/>
      <c r="BS13" s="66"/>
      <c r="BT13" s="66"/>
      <c r="BU13" s="66"/>
      <c r="BV13" s="136"/>
      <c r="BX13" s="84" t="s">
        <v>75</v>
      </c>
      <c r="BY13" s="84" t="s">
        <v>274</v>
      </c>
    </row>
    <row r="14" spans="1:79" ht="15.75" customHeight="1">
      <c r="B14" t="s">
        <v>154</v>
      </c>
      <c r="D14" t="s">
        <v>49</v>
      </c>
      <c r="F14" s="134" t="s">
        <v>50</v>
      </c>
      <c r="Y14" s="59" t="s">
        <v>12</v>
      </c>
      <c r="Z14" s="60"/>
      <c r="AA14" s="60"/>
      <c r="AB14" s="60"/>
      <c r="AC14" s="61"/>
      <c r="AD14" s="59" t="s">
        <v>13</v>
      </c>
      <c r="AE14" s="60"/>
      <c r="AF14" s="60"/>
      <c r="AG14" s="60"/>
      <c r="AH14" s="60"/>
      <c r="AI14" s="144"/>
      <c r="AJ14" s="105" t="s">
        <v>14</v>
      </c>
      <c r="AK14" s="96"/>
      <c r="AL14" s="34"/>
      <c r="AM14" s="107" t="s">
        <v>14</v>
      </c>
      <c r="AN14" s="32"/>
      <c r="AO14" s="63" t="s">
        <v>12</v>
      </c>
      <c r="AP14" s="62"/>
      <c r="AQ14" s="62"/>
      <c r="AR14" s="62"/>
      <c r="AS14" s="64"/>
      <c r="AT14" s="62" t="s">
        <v>13</v>
      </c>
      <c r="AU14" s="62"/>
      <c r="AV14" s="62"/>
      <c r="AW14" s="62"/>
      <c r="AX14" s="62"/>
      <c r="AY14" s="62"/>
      <c r="AZ14" s="62"/>
      <c r="BA14" s="62"/>
      <c r="BB14" s="64"/>
      <c r="BC14" s="35" t="s">
        <v>14</v>
      </c>
      <c r="BD14" s="35" t="s">
        <v>56</v>
      </c>
      <c r="BE14" s="33"/>
      <c r="BF14" s="19"/>
      <c r="BH14" s="65" t="s">
        <v>12</v>
      </c>
      <c r="BI14" s="66"/>
      <c r="BJ14" s="66"/>
      <c r="BK14" s="66"/>
      <c r="BL14" s="66"/>
      <c r="BM14" s="66"/>
      <c r="BN14" s="67"/>
      <c r="BO14" s="65" t="s">
        <v>13</v>
      </c>
      <c r="BP14" s="66"/>
      <c r="BQ14" s="66"/>
      <c r="BR14" s="66"/>
      <c r="BS14" s="66"/>
      <c r="BT14" s="66"/>
      <c r="BU14" s="67"/>
      <c r="BV14" s="44" t="s">
        <v>14</v>
      </c>
      <c r="BX14" s="91"/>
      <c r="BY14" s="288" t="s">
        <v>275</v>
      </c>
    </row>
    <row r="15" spans="1:79" s="242" customFormat="1" ht="32.25" customHeight="1">
      <c r="N15" s="33"/>
      <c r="Y15" s="39" t="s">
        <v>4</v>
      </c>
      <c r="Z15" s="40" t="s">
        <v>30</v>
      </c>
      <c r="AA15" s="40" t="s">
        <v>31</v>
      </c>
      <c r="AB15" s="40" t="s">
        <v>247</v>
      </c>
      <c r="AC15" s="41" t="s">
        <v>36</v>
      </c>
      <c r="AD15" s="39" t="s">
        <v>248</v>
      </c>
      <c r="AE15" s="40" t="s">
        <v>33</v>
      </c>
      <c r="AF15" s="40" t="s">
        <v>219</v>
      </c>
      <c r="AG15" s="40" t="s">
        <v>34</v>
      </c>
      <c r="AH15" s="40" t="s">
        <v>35</v>
      </c>
      <c r="AI15" s="42" t="s">
        <v>37</v>
      </c>
      <c r="AJ15" s="97"/>
      <c r="AK15" s="83" t="s">
        <v>271</v>
      </c>
      <c r="AL15" s="42" t="s">
        <v>97</v>
      </c>
      <c r="AM15" s="109" t="s">
        <v>56</v>
      </c>
      <c r="AN15" s="32"/>
      <c r="AO15" s="86" t="s">
        <v>4</v>
      </c>
      <c r="AP15" s="87" t="s">
        <v>30</v>
      </c>
      <c r="AQ15" s="87" t="s">
        <v>31</v>
      </c>
      <c r="AR15" s="87" t="s">
        <v>246</v>
      </c>
      <c r="AS15" s="43" t="s">
        <v>36</v>
      </c>
      <c r="AT15" s="87" t="s">
        <v>61</v>
      </c>
      <c r="AU15" s="87" t="s">
        <v>41</v>
      </c>
      <c r="AV15" s="87" t="s">
        <v>42</v>
      </c>
      <c r="AW15" s="87" t="s">
        <v>249</v>
      </c>
      <c r="AX15" s="87" t="s">
        <v>258</v>
      </c>
      <c r="AY15" s="87" t="s">
        <v>168</v>
      </c>
      <c r="AZ15" s="87" t="s">
        <v>34</v>
      </c>
      <c r="BA15" s="87" t="s">
        <v>35</v>
      </c>
      <c r="BB15" s="43" t="s">
        <v>37</v>
      </c>
      <c r="BC15" s="88"/>
      <c r="BD15" s="43"/>
      <c r="BE15" s="33"/>
      <c r="BF15" s="262" t="s">
        <v>55</v>
      </c>
      <c r="BG15" s="33"/>
      <c r="BH15" s="45" t="s">
        <v>62</v>
      </c>
      <c r="BI15" s="37" t="s">
        <v>41</v>
      </c>
      <c r="BJ15" s="37" t="s">
        <v>42</v>
      </c>
      <c r="BK15" s="37" t="s">
        <v>249</v>
      </c>
      <c r="BL15" s="37" t="s">
        <v>250</v>
      </c>
      <c r="BM15" s="37" t="s">
        <v>247</v>
      </c>
      <c r="BN15" s="38" t="s">
        <v>36</v>
      </c>
      <c r="BO15" s="37" t="s">
        <v>32</v>
      </c>
      <c r="BP15" s="37" t="s">
        <v>54</v>
      </c>
      <c r="BQ15" s="37" t="s">
        <v>74</v>
      </c>
      <c r="BR15" s="37" t="s">
        <v>39</v>
      </c>
      <c r="BS15" s="37" t="s">
        <v>277</v>
      </c>
      <c r="BT15" s="37" t="s">
        <v>251</v>
      </c>
      <c r="BU15" s="38" t="s">
        <v>37</v>
      </c>
      <c r="BV15" s="38"/>
      <c r="BW15" s="33"/>
      <c r="BX15" s="92"/>
      <c r="BY15" s="287">
        <f>IF(SUM(BY17:BY46)=0,0,1)</f>
        <v>0</v>
      </c>
      <c r="BZ15" s="33"/>
    </row>
    <row r="16" spans="1:79" ht="15.75" customHeight="1">
      <c r="B16" t="s">
        <v>155</v>
      </c>
      <c r="C16" t="s">
        <v>27</v>
      </c>
      <c r="D16" t="s">
        <v>7</v>
      </c>
      <c r="F16" s="1">
        <v>3</v>
      </c>
      <c r="J16" s="4" t="s">
        <v>156</v>
      </c>
      <c r="N16" s="19" t="s">
        <v>7</v>
      </c>
      <c r="O16" s="20">
        <f>SUM(F16:F17)</f>
        <v>3</v>
      </c>
      <c r="V16" s="104" t="s">
        <v>38</v>
      </c>
      <c r="Y16" s="170"/>
      <c r="Z16" s="152"/>
      <c r="AA16" s="152"/>
      <c r="AB16" s="152"/>
      <c r="AC16" s="152"/>
      <c r="AD16" s="152"/>
      <c r="AE16" s="152"/>
      <c r="AF16" s="152"/>
      <c r="AG16" s="152"/>
      <c r="AH16" s="152"/>
      <c r="AI16" s="152"/>
      <c r="AJ16" s="152"/>
      <c r="AK16" s="166"/>
      <c r="AL16" s="169">
        <f>-SUM(BS17,SUM(BR17:BR46),O105,O110)</f>
        <v>0</v>
      </c>
      <c r="AM16" s="158">
        <f>AL16*BF16</f>
        <v>0</v>
      </c>
      <c r="AN16" s="166"/>
      <c r="AO16" s="151"/>
      <c r="AP16" s="152"/>
      <c r="AQ16" s="152"/>
      <c r="AR16" s="152"/>
      <c r="AS16" s="152"/>
      <c r="AT16" s="152"/>
      <c r="AU16" s="152"/>
      <c r="AV16" s="152"/>
      <c r="AW16" s="152"/>
      <c r="AX16" s="152"/>
      <c r="AY16" s="152"/>
      <c r="AZ16" s="152"/>
      <c r="BA16" s="152"/>
      <c r="BB16" s="152"/>
      <c r="BC16" s="152"/>
      <c r="BD16" s="171"/>
      <c r="BE16" s="166"/>
      <c r="BF16" s="106">
        <v>1</v>
      </c>
      <c r="BH16" s="151"/>
      <c r="BI16" s="152"/>
      <c r="BJ16" s="152"/>
      <c r="BK16" s="152"/>
      <c r="BL16" s="152"/>
      <c r="BM16" s="152"/>
      <c r="BN16" s="152"/>
      <c r="BO16" s="152"/>
      <c r="BP16" s="152"/>
      <c r="BQ16" s="152"/>
      <c r="BR16" s="152"/>
      <c r="BS16" s="152"/>
      <c r="BT16" s="152"/>
      <c r="BU16" s="152"/>
      <c r="BV16" s="152"/>
      <c r="BW16" s="153"/>
      <c r="BX16" s="154"/>
      <c r="BY16" s="283"/>
      <c r="CA16"/>
    </row>
    <row r="17" spans="1:79" ht="15.75" customHeight="1">
      <c r="C17" t="s">
        <v>28</v>
      </c>
      <c r="D17" t="s">
        <v>7</v>
      </c>
      <c r="F17" s="1">
        <v>0</v>
      </c>
      <c r="J17" s="114"/>
      <c r="V17" s="58">
        <f>IF(W17=1,DATE(YEAR($F$18)+(MONTH($F$18)&gt;=4),4,0),EOMONTH(V15,12))</f>
        <v>45747</v>
      </c>
      <c r="W17" s="6">
        <v>1</v>
      </c>
      <c r="X17" s="282" t="str">
        <f>IF(W17&gt;$O$16,"-",IF($W17&lt;=$F$16,"整備期間","維持管理・運営期間"))</f>
        <v>整備期間</v>
      </c>
      <c r="Y17" s="161">
        <f t="shared" ref="Y17:Y56" si="0">IF($W17=$F$16,$O$61,0)</f>
        <v>0</v>
      </c>
      <c r="Z17" s="159">
        <f t="shared" ref="Z17:Z56" si="1">IF($W17=$F$16,$O$63,0)</f>
        <v>0</v>
      </c>
      <c r="AA17" s="159">
        <f t="shared" ref="AA17:AA56" si="2">IF($W17=$F$16,$O$62,0)</f>
        <v>0</v>
      </c>
      <c r="AB17" s="159">
        <f t="shared" ref="AB17:AB46" si="3">IF(X17="維持管理・運営期間",$F$56,0)</f>
        <v>0</v>
      </c>
      <c r="AC17" s="160">
        <f>SUM(Y17:Z17,AB17)</f>
        <v>0</v>
      </c>
      <c r="AD17" s="161">
        <f t="shared" ref="AD17:AD56" si="4">IF($W17=$F$16,$O$30,0)</f>
        <v>0</v>
      </c>
      <c r="AE17" s="159">
        <f t="shared" ref="AE17:AE56" si="5">IF($X17="維持管理・運営期間",$O$41,0)</f>
        <v>0</v>
      </c>
      <c r="AF17" s="159">
        <f t="shared" ref="AF17:AF46" si="6">IF(AND($W17&gt;0,$W17&lt;=$O$16),$E$45,0)</f>
        <v>10</v>
      </c>
      <c r="AG17" s="159">
        <f>IF(AND(SUM($AA$16:AA16)&gt;0,SUM($AG$16:AG16)&lt;$O$62,$W17&gt;=$O$65),$O$64,0)</f>
        <v>0</v>
      </c>
      <c r="AH17" s="159">
        <f>IF(SUM($AA15:$AA$17)&gt;0,($O$62-SUM($AG15:$AG$17))*$F$65,0)</f>
        <v>0</v>
      </c>
      <c r="AI17" s="160">
        <f>SUM(AD17:AF17)</f>
        <v>10</v>
      </c>
      <c r="AJ17" s="159">
        <f t="shared" ref="AJ17:AJ46" si="7">AC17-AI17</f>
        <v>-10</v>
      </c>
      <c r="AK17" s="162"/>
      <c r="AL17" s="163"/>
      <c r="AM17" s="160">
        <f t="shared" ref="AM17:AM46" si="8">AJ17*$BF17</f>
        <v>-9.6665055582406971</v>
      </c>
      <c r="AN17" s="164"/>
      <c r="AO17" s="161">
        <f t="shared" ref="AO17:AO56" si="9">IF($W17=$F$16,$P$61,0)</f>
        <v>0</v>
      </c>
      <c r="AP17" s="159">
        <f t="shared" ref="AP17:AP56" si="10">IF($W17=$F$16,$P$63,0)</f>
        <v>0</v>
      </c>
      <c r="AQ17" s="159">
        <f t="shared" ref="AQ17:AQ56" si="11">IF($W17=$F$16,$P$62,0)</f>
        <v>0</v>
      </c>
      <c r="AR17" s="159">
        <f t="shared" ref="AR17:AR46" si="12">IF($W17&lt;$O$16,IF(W17=$F$16,$U$92,$U$93),0)</f>
        <v>0</v>
      </c>
      <c r="AS17" s="160">
        <f>SUM(AO17:AP17,AR17)</f>
        <v>0</v>
      </c>
      <c r="AT17" s="159">
        <f t="shared" ref="AT17:AT46" si="13">IF(W17=$F$16,$P$30,0)</f>
        <v>0</v>
      </c>
      <c r="AU17" s="159">
        <f t="shared" ref="AU17:AU56" si="14">IFERROR(-PPMT($P$36,W17-$F$16,$F$17,SUM(P$31,P$51)),0)</f>
        <v>0</v>
      </c>
      <c r="AV17" s="159">
        <f t="shared" ref="AV17:AV56" si="15">IFERROR(-IPMT($P$36,W17-$F$16,$F$17,SUM($P$31,$P$51)),0)</f>
        <v>0</v>
      </c>
      <c r="AW17" s="159">
        <f>IF(AND(W17&gt;$F$16,W17&lt;=SUM($F$16:$F$17)),$P$43,0)</f>
        <v>0</v>
      </c>
      <c r="AX17" s="159">
        <f>IF($W17=1,$F$44,0)+IF(AND($W17&gt;0,$W17&lt;=$O$16),$F$45,0)</f>
        <v>31</v>
      </c>
      <c r="AY17" s="159">
        <f t="shared" ref="AY17:AY56" si="16">IF(AND(W17&gt;$F$16,W17&lt;=SUM($F$16:$F$17)),$P$54,0)</f>
        <v>0</v>
      </c>
      <c r="AZ17" s="159">
        <f>IF(AND(SUM($AQ$16:AQ16)&gt;0,SUM($AZ$16:AZ16)&lt;$P$62,$W17&gt;=$P$65),$P$64,0)</f>
        <v>0</v>
      </c>
      <c r="BA17" s="159">
        <f>IF(SUM($AQ16:$AQ$17)&gt;0,($P$62-SUM($AZ16:$AZ$17))*$F$65,0)</f>
        <v>0</v>
      </c>
      <c r="BB17" s="160">
        <f>SUM(AT17:AY17)</f>
        <v>31</v>
      </c>
      <c r="BC17" s="159">
        <f>AS17-BB17</f>
        <v>-31</v>
      </c>
      <c r="BD17" s="160">
        <f t="shared" ref="BD17:BD46" si="17">BC17*$BF17</f>
        <v>-29.966167230546159</v>
      </c>
      <c r="BE17" s="172"/>
      <c r="BF17" s="46">
        <f>1/(1+$O$22)</f>
        <v>0.96665055582406967</v>
      </c>
      <c r="BH17" s="155">
        <f>AT17</f>
        <v>0</v>
      </c>
      <c r="BI17" s="155">
        <f>AU17</f>
        <v>0</v>
      </c>
      <c r="BJ17" s="156">
        <f>AV17</f>
        <v>0</v>
      </c>
      <c r="BK17" s="156">
        <f>AW17</f>
        <v>0</v>
      </c>
      <c r="BL17" s="156">
        <f>AY17</f>
        <v>0</v>
      </c>
      <c r="BM17" s="156">
        <f t="shared" ref="BM17:BM46" si="18">IF($W17&gt;$F$16,$F$56,0)</f>
        <v>0</v>
      </c>
      <c r="BN17" s="157">
        <f>SUM(BH17:BM17)</f>
        <v>0</v>
      </c>
      <c r="BO17" s="156">
        <f t="shared" ref="BO17:BO56" si="19">IF($W17=$F$16,$P$32,0)</f>
        <v>0</v>
      </c>
      <c r="BP17" s="156">
        <f t="shared" ref="BP17:BP46" si="20">IF(AND(W17&gt;$F$16,W17&lt;=SUM($F$16:$F$17)),$P$41,0)</f>
        <v>0</v>
      </c>
      <c r="BQ17" s="156">
        <f t="shared" ref="BQ17:BQ56" si="21">IFERROR(-IPMT($P$67,W17-$F$16,$F$17,SUM(P$31,P$51)),0)</f>
        <v>0</v>
      </c>
      <c r="BR17" s="156">
        <f t="shared" ref="BR17:BR46" si="22">IF($W17&lt;=$O$16,$F$105,0)</f>
        <v>0</v>
      </c>
      <c r="BS17" s="228">
        <f>IF($W17=1,SUM($O$103,$O$105),0)</f>
        <v>0</v>
      </c>
      <c r="BT17" s="156">
        <f t="shared" ref="BT17:BT46" si="23">IF($W17&lt;$O$16,IF(W17=$F$16,$P$93,$P$94),0)</f>
        <v>0</v>
      </c>
      <c r="BU17" s="157">
        <f>SUM(BO17:BP17,BR17:BT17)</f>
        <v>0</v>
      </c>
      <c r="BV17" s="157">
        <f t="shared" ref="BV17:BV46" si="24">BN17-BU17</f>
        <v>0</v>
      </c>
      <c r="BW17" s="153"/>
      <c r="BX17" s="158">
        <f t="shared" ref="BX17:BX56" si="25">IFERROR(-PPMT($P$67,$W17-$F$16,$F$17,SUM(P$31,P$51)),0)</f>
        <v>0</v>
      </c>
      <c r="BY17" s="284"/>
      <c r="CA17"/>
    </row>
    <row r="18" spans="1:79" ht="15.75" customHeight="1">
      <c r="C18" t="s">
        <v>63</v>
      </c>
      <c r="F18" s="68">
        <v>45383</v>
      </c>
      <c r="J18" s="114"/>
      <c r="V18" s="58">
        <f t="shared" ref="V18:V46" si="26">IF(W18=1,DATE(YEAR($F$18)+(MONTH($F$18)&gt;=4),4,0),EOMONTH(V17,12))</f>
        <v>46112</v>
      </c>
      <c r="W18" s="7">
        <v>2</v>
      </c>
      <c r="X18" s="282" t="str">
        <f t="shared" ref="X18:X56" si="27">IF(W18&gt;$O$16,"-",IF($W18&lt;=$F$16,"整備期間","維持管理・運営期間"))</f>
        <v>整備期間</v>
      </c>
      <c r="Y18" s="161">
        <f t="shared" si="0"/>
        <v>0</v>
      </c>
      <c r="Z18" s="159">
        <f t="shared" si="1"/>
        <v>0</v>
      </c>
      <c r="AA18" s="159">
        <f t="shared" si="2"/>
        <v>0</v>
      </c>
      <c r="AB18" s="159">
        <f t="shared" si="3"/>
        <v>0</v>
      </c>
      <c r="AC18" s="160">
        <f t="shared" ref="AC18:AC46" si="28">SUM(Y18:Z18,AB18)</f>
        <v>0</v>
      </c>
      <c r="AD18" s="161">
        <f t="shared" si="4"/>
        <v>0</v>
      </c>
      <c r="AE18" s="159">
        <f t="shared" si="5"/>
        <v>0</v>
      </c>
      <c r="AF18" s="159">
        <f t="shared" si="6"/>
        <v>10</v>
      </c>
      <c r="AG18" s="159">
        <f>IF(AND(SUM($AA$16:AA17)&gt;0,SUM($AG$16:AG17)&lt;$O$62,$W18&gt;=$O$65),$O$64,0)</f>
        <v>0</v>
      </c>
      <c r="AH18" s="156">
        <f>IF(SUM($AA$17:$AA17)&gt;0,($O$62-SUM($AG$17:$AG17))*$F$65,0)</f>
        <v>0</v>
      </c>
      <c r="AI18" s="160">
        <f t="shared" ref="AI18:AI46" si="29">SUM(AD18:AF18)</f>
        <v>10</v>
      </c>
      <c r="AJ18" s="156">
        <f t="shared" si="7"/>
        <v>-10</v>
      </c>
      <c r="AK18" s="162"/>
      <c r="AL18" s="163"/>
      <c r="AM18" s="157">
        <f t="shared" si="8"/>
        <v>-9.3441329707498273</v>
      </c>
      <c r="AN18" s="164"/>
      <c r="AO18" s="155">
        <f t="shared" si="9"/>
        <v>0</v>
      </c>
      <c r="AP18" s="156">
        <f t="shared" si="10"/>
        <v>0</v>
      </c>
      <c r="AQ18" s="156">
        <f t="shared" si="11"/>
        <v>0</v>
      </c>
      <c r="AR18" s="159">
        <f t="shared" si="12"/>
        <v>0</v>
      </c>
      <c r="AS18" s="160">
        <f t="shared" ref="AS18:AS46" si="30">SUM(AO18:AP18,AR18)</f>
        <v>0</v>
      </c>
      <c r="AT18" s="159">
        <f t="shared" si="13"/>
        <v>0</v>
      </c>
      <c r="AU18" s="159">
        <f t="shared" si="14"/>
        <v>0</v>
      </c>
      <c r="AV18" s="159">
        <f t="shared" si="15"/>
        <v>0</v>
      </c>
      <c r="AW18" s="159">
        <f t="shared" ref="AW18:AW46" si="31">IF(AND(W18&gt;$F$16,W18&lt;=SUM($F$16:$F$17)),$P$43,0)</f>
        <v>0</v>
      </c>
      <c r="AX18" s="159">
        <f t="shared" ref="AX18:AX56" si="32">IF($W18=1,$F$44,0)+IF(AND($W18&gt;0,$W18&lt;=$O$16),$F$45,0)</f>
        <v>6</v>
      </c>
      <c r="AY18" s="159">
        <f t="shared" si="16"/>
        <v>0</v>
      </c>
      <c r="AZ18" s="159">
        <f>IF(AND(SUM($AQ$16:AQ17)&gt;0,SUM($AZ$16:AZ17)&lt;$P$62,$W18&gt;=$P$65),$P$64,0)</f>
        <v>0</v>
      </c>
      <c r="BA18" s="159">
        <f>IF(SUM($AQ17:$AQ$17)&gt;0,($P$62-SUM($AZ17:$AZ$17))*$F$65,0)</f>
        <v>0</v>
      </c>
      <c r="BB18" s="160">
        <f t="shared" ref="BB18:BB46" si="33">SUM(AT18:AY18)</f>
        <v>6</v>
      </c>
      <c r="BC18" s="156">
        <f t="shared" ref="BC18:BC46" si="34">AS18-BB18</f>
        <v>-6</v>
      </c>
      <c r="BD18" s="157">
        <f t="shared" si="17"/>
        <v>-5.6064797824498971</v>
      </c>
      <c r="BE18" s="172"/>
      <c r="BF18" s="46">
        <f t="shared" ref="BF18:BF56" si="35">BF17/(1+$O$22)</f>
        <v>0.93441329707498277</v>
      </c>
      <c r="BH18" s="155">
        <f t="shared" ref="BH18:BH46" si="36">AT18</f>
        <v>0</v>
      </c>
      <c r="BI18" s="155">
        <f t="shared" ref="BI18:BI46" si="37">AU18</f>
        <v>0</v>
      </c>
      <c r="BJ18" s="156">
        <f t="shared" ref="BJ18:BJ46" si="38">AV18</f>
        <v>0</v>
      </c>
      <c r="BK18" s="156">
        <f t="shared" ref="BK18:BK46" si="39">AW18</f>
        <v>0</v>
      </c>
      <c r="BL18" s="156">
        <f t="shared" ref="BL18:BL46" si="40">AY18</f>
        <v>0</v>
      </c>
      <c r="BM18" s="156">
        <f t="shared" si="18"/>
        <v>0</v>
      </c>
      <c r="BN18" s="157">
        <f t="shared" ref="BN18:BN46" si="41">SUM(BH18:BM18)</f>
        <v>0</v>
      </c>
      <c r="BO18" s="156">
        <f t="shared" si="19"/>
        <v>0</v>
      </c>
      <c r="BP18" s="156">
        <f t="shared" si="20"/>
        <v>0</v>
      </c>
      <c r="BQ18" s="156">
        <f t="shared" si="21"/>
        <v>0</v>
      </c>
      <c r="BR18" s="156">
        <f t="shared" si="22"/>
        <v>0</v>
      </c>
      <c r="BS18" s="228">
        <f t="shared" ref="BS18:BS56" si="42">IF($W18=1,SUM($O$103,$O$105),0)</f>
        <v>0</v>
      </c>
      <c r="BT18" s="156">
        <f t="shared" si="23"/>
        <v>0</v>
      </c>
      <c r="BU18" s="157">
        <f t="shared" ref="BU18:BU46" si="43">SUM(BO18:BP18,BR18:BT18)</f>
        <v>0</v>
      </c>
      <c r="BV18" s="157">
        <f t="shared" si="24"/>
        <v>0</v>
      </c>
      <c r="BW18" s="153"/>
      <c r="BX18" s="158">
        <f t="shared" si="25"/>
        <v>0</v>
      </c>
      <c r="BY18" s="285"/>
      <c r="CA18"/>
    </row>
    <row r="19" spans="1:79" ht="15.75" customHeight="1">
      <c r="C19" t="s">
        <v>64</v>
      </c>
      <c r="F19" s="137">
        <f>EOMONTH(F18,12*F16-1)</f>
        <v>46477</v>
      </c>
      <c r="J19" s="114"/>
      <c r="V19" s="58">
        <f t="shared" si="26"/>
        <v>46477</v>
      </c>
      <c r="W19" s="7">
        <v>3</v>
      </c>
      <c r="X19" s="282" t="str">
        <f t="shared" si="27"/>
        <v>整備期間</v>
      </c>
      <c r="Y19" s="161">
        <f t="shared" si="0"/>
        <v>1140</v>
      </c>
      <c r="Z19" s="159">
        <f t="shared" si="1"/>
        <v>384.75</v>
      </c>
      <c r="AA19" s="159">
        <f t="shared" si="2"/>
        <v>1282.5</v>
      </c>
      <c r="AB19" s="159">
        <f t="shared" si="3"/>
        <v>0</v>
      </c>
      <c r="AC19" s="160">
        <f t="shared" si="28"/>
        <v>1524.75</v>
      </c>
      <c r="AD19" s="161">
        <f t="shared" si="4"/>
        <v>2850</v>
      </c>
      <c r="AE19" s="159">
        <f t="shared" si="5"/>
        <v>0</v>
      </c>
      <c r="AF19" s="159">
        <f t="shared" si="6"/>
        <v>10</v>
      </c>
      <c r="AG19" s="159">
        <f>IF(AND(SUM($AA$16:AA18)&gt;0,SUM($AG$16:AG18)&lt;$O$62,$W19&gt;=$O$65),$O$64,0)</f>
        <v>0</v>
      </c>
      <c r="AH19" s="156">
        <f>IF(SUM($AA$17:$AA18)&gt;0,($O$62-SUM($AG$17:$AG18))*$F$65,0)</f>
        <v>0</v>
      </c>
      <c r="AI19" s="160">
        <f t="shared" si="29"/>
        <v>2860</v>
      </c>
      <c r="AJ19" s="156">
        <f t="shared" si="7"/>
        <v>-1335.25</v>
      </c>
      <c r="AK19" s="162"/>
      <c r="AL19" s="163"/>
      <c r="AM19" s="157">
        <f t="shared" si="8"/>
        <v>-1206.0660753208031</v>
      </c>
      <c r="AN19" s="164"/>
      <c r="AO19" s="155">
        <f t="shared" si="9"/>
        <v>1080</v>
      </c>
      <c r="AP19" s="156">
        <f t="shared" si="10"/>
        <v>364.5</v>
      </c>
      <c r="AQ19" s="156">
        <f t="shared" si="11"/>
        <v>1215</v>
      </c>
      <c r="AR19" s="159">
        <f t="shared" si="12"/>
        <v>0</v>
      </c>
      <c r="AS19" s="160">
        <f t="shared" si="30"/>
        <v>1444.5</v>
      </c>
      <c r="AT19" s="159">
        <f t="shared" si="13"/>
        <v>2700</v>
      </c>
      <c r="AU19" s="159">
        <f t="shared" si="14"/>
        <v>0</v>
      </c>
      <c r="AV19" s="159">
        <f t="shared" si="15"/>
        <v>0</v>
      </c>
      <c r="AW19" s="159">
        <f t="shared" si="31"/>
        <v>0</v>
      </c>
      <c r="AX19" s="159">
        <f t="shared" si="32"/>
        <v>6</v>
      </c>
      <c r="AY19" s="159">
        <f t="shared" si="16"/>
        <v>0</v>
      </c>
      <c r="AZ19" s="159">
        <f>IF(AND(SUM($AQ$16:AQ18)&gt;0,SUM($AZ$16:AZ18)&lt;$P$62,$W19&gt;=$P$65),$P$64,0)</f>
        <v>0</v>
      </c>
      <c r="BA19" s="159">
        <f>IF(SUM($AQ$17:$AQ18)&gt;0,($P$62-SUM($AZ$17:$AZ18))*$F$65,0)</f>
        <v>0</v>
      </c>
      <c r="BB19" s="160">
        <f t="shared" si="33"/>
        <v>2706</v>
      </c>
      <c r="BC19" s="156">
        <f t="shared" si="34"/>
        <v>-1261.5</v>
      </c>
      <c r="BD19" s="157">
        <f t="shared" si="17"/>
        <v>-1139.4513042630167</v>
      </c>
      <c r="BE19" s="172"/>
      <c r="BF19" s="46">
        <f t="shared" si="35"/>
        <v>0.9032511329869336</v>
      </c>
      <c r="BH19" s="155">
        <f t="shared" si="36"/>
        <v>2700</v>
      </c>
      <c r="BI19" s="155">
        <f t="shared" si="37"/>
        <v>0</v>
      </c>
      <c r="BJ19" s="156">
        <f t="shared" si="38"/>
        <v>0</v>
      </c>
      <c r="BK19" s="156">
        <f t="shared" si="39"/>
        <v>0</v>
      </c>
      <c r="BL19" s="156">
        <f t="shared" si="40"/>
        <v>0</v>
      </c>
      <c r="BM19" s="156">
        <f t="shared" si="18"/>
        <v>0</v>
      </c>
      <c r="BN19" s="157">
        <f t="shared" si="41"/>
        <v>2700</v>
      </c>
      <c r="BO19" s="156">
        <f t="shared" si="19"/>
        <v>2700</v>
      </c>
      <c r="BP19" s="156">
        <f t="shared" si="20"/>
        <v>0</v>
      </c>
      <c r="BQ19" s="156">
        <f t="shared" si="21"/>
        <v>0</v>
      </c>
      <c r="BR19" s="156">
        <f t="shared" si="22"/>
        <v>0</v>
      </c>
      <c r="BS19" s="228">
        <f t="shared" si="42"/>
        <v>0</v>
      </c>
      <c r="BT19" s="156">
        <f t="shared" si="23"/>
        <v>0</v>
      </c>
      <c r="BU19" s="157">
        <f t="shared" si="43"/>
        <v>2700</v>
      </c>
      <c r="BV19" s="157">
        <f t="shared" si="24"/>
        <v>0</v>
      </c>
      <c r="BW19" s="153"/>
      <c r="BX19" s="158">
        <f t="shared" si="25"/>
        <v>0</v>
      </c>
      <c r="BY19" s="285"/>
      <c r="CA19"/>
    </row>
    <row r="20" spans="1:79" ht="15.75" customHeight="1">
      <c r="C20" t="s">
        <v>65</v>
      </c>
      <c r="F20" s="137">
        <f>F19+1</f>
        <v>46478</v>
      </c>
      <c r="V20" s="58">
        <f t="shared" si="26"/>
        <v>46843</v>
      </c>
      <c r="W20" s="26">
        <v>4</v>
      </c>
      <c r="X20" s="282" t="str">
        <f t="shared" si="27"/>
        <v>-</v>
      </c>
      <c r="Y20" s="161">
        <f t="shared" si="0"/>
        <v>0</v>
      </c>
      <c r="Z20" s="159">
        <f t="shared" si="1"/>
        <v>0</v>
      </c>
      <c r="AA20" s="159">
        <f t="shared" si="2"/>
        <v>0</v>
      </c>
      <c r="AB20" s="159">
        <f t="shared" si="3"/>
        <v>0</v>
      </c>
      <c r="AC20" s="160">
        <f t="shared" si="28"/>
        <v>0</v>
      </c>
      <c r="AD20" s="161">
        <f t="shared" si="4"/>
        <v>0</v>
      </c>
      <c r="AE20" s="159">
        <f t="shared" si="5"/>
        <v>0</v>
      </c>
      <c r="AF20" s="159">
        <f t="shared" si="6"/>
        <v>0</v>
      </c>
      <c r="AG20" s="159">
        <f>IF(AND(SUM($AA$16:AA19)&gt;0,SUM($AG$16:AG19)&lt;$O$62,$W20&gt;=$O$65),$O$64,0)</f>
        <v>0</v>
      </c>
      <c r="AH20" s="156">
        <f>IF(SUM($AA$17:$AA19)&gt;0,($O$62-SUM($AG$17:$AG19))*$F$65,0)</f>
        <v>19.237500000000001</v>
      </c>
      <c r="AI20" s="160">
        <f t="shared" si="29"/>
        <v>0</v>
      </c>
      <c r="AJ20" s="156">
        <f t="shared" si="7"/>
        <v>0</v>
      </c>
      <c r="AK20" s="158">
        <f>(SUM($P$31,$P$51)-SUM($AU$17:AU19))*$O$109</f>
        <v>0</v>
      </c>
      <c r="AL20" s="163"/>
      <c r="AM20" s="157">
        <f t="shared" si="8"/>
        <v>0</v>
      </c>
      <c r="AN20" s="164"/>
      <c r="AO20" s="155">
        <f t="shared" si="9"/>
        <v>0</v>
      </c>
      <c r="AP20" s="156">
        <f t="shared" si="10"/>
        <v>0</v>
      </c>
      <c r="AQ20" s="156">
        <f t="shared" si="11"/>
        <v>0</v>
      </c>
      <c r="AR20" s="159">
        <f t="shared" si="12"/>
        <v>0</v>
      </c>
      <c r="AS20" s="160">
        <f t="shared" si="30"/>
        <v>0</v>
      </c>
      <c r="AT20" s="159">
        <f t="shared" si="13"/>
        <v>0</v>
      </c>
      <c r="AU20" s="159">
        <f t="shared" si="14"/>
        <v>0</v>
      </c>
      <c r="AV20" s="159">
        <f t="shared" si="15"/>
        <v>0</v>
      </c>
      <c r="AW20" s="159">
        <f t="shared" si="31"/>
        <v>0</v>
      </c>
      <c r="AX20" s="159">
        <f t="shared" si="32"/>
        <v>0</v>
      </c>
      <c r="AY20" s="159">
        <f t="shared" si="16"/>
        <v>0</v>
      </c>
      <c r="AZ20" s="159">
        <f>IF(AND(SUM($AQ$16:AQ19)&gt;0,SUM($AZ$16:AZ19)&lt;$P$62,$W20&gt;=$P$65),$P$64,0)</f>
        <v>0</v>
      </c>
      <c r="BA20" s="159">
        <f>IF(SUM($AQ$17:$AQ19)&gt;0,($P$62-SUM($AZ$17:$AZ19))*$F$65,0)</f>
        <v>18.224999999999998</v>
      </c>
      <c r="BB20" s="160">
        <f t="shared" si="33"/>
        <v>0</v>
      </c>
      <c r="BC20" s="156">
        <f t="shared" si="34"/>
        <v>0</v>
      </c>
      <c r="BD20" s="157">
        <f t="shared" si="17"/>
        <v>0</v>
      </c>
      <c r="BE20" s="172"/>
      <c r="BF20" s="46">
        <f t="shared" si="35"/>
        <v>0.87312820975053995</v>
      </c>
      <c r="BH20" s="155">
        <f t="shared" si="36"/>
        <v>0</v>
      </c>
      <c r="BI20" s="155">
        <f t="shared" si="37"/>
        <v>0</v>
      </c>
      <c r="BJ20" s="156">
        <f t="shared" si="38"/>
        <v>0</v>
      </c>
      <c r="BK20" s="156">
        <f t="shared" si="39"/>
        <v>0</v>
      </c>
      <c r="BL20" s="156">
        <f t="shared" si="40"/>
        <v>0</v>
      </c>
      <c r="BM20" s="156">
        <f t="shared" si="18"/>
        <v>0</v>
      </c>
      <c r="BN20" s="157">
        <f t="shared" si="41"/>
        <v>0</v>
      </c>
      <c r="BO20" s="156">
        <f t="shared" si="19"/>
        <v>0</v>
      </c>
      <c r="BP20" s="156">
        <f t="shared" si="20"/>
        <v>0</v>
      </c>
      <c r="BQ20" s="156">
        <f t="shared" si="21"/>
        <v>0</v>
      </c>
      <c r="BR20" s="156">
        <f t="shared" si="22"/>
        <v>0</v>
      </c>
      <c r="BS20" s="228">
        <f t="shared" si="42"/>
        <v>0</v>
      </c>
      <c r="BT20" s="156">
        <f t="shared" si="23"/>
        <v>0</v>
      </c>
      <c r="BU20" s="157">
        <f t="shared" si="43"/>
        <v>0</v>
      </c>
      <c r="BV20" s="157">
        <f t="shared" si="24"/>
        <v>0</v>
      </c>
      <c r="BW20" s="153"/>
      <c r="BX20" s="158">
        <f t="shared" si="25"/>
        <v>0</v>
      </c>
      <c r="BY20" s="286">
        <f>IF(BV20-BX20&gt;=0,0,1)</f>
        <v>0</v>
      </c>
      <c r="CA20"/>
    </row>
    <row r="21" spans="1:79" ht="15.75" customHeight="1">
      <c r="C21" t="s">
        <v>66</v>
      </c>
      <c r="F21" s="137">
        <f>EOMONTH(F20,12*F17-1)</f>
        <v>46477</v>
      </c>
      <c r="V21" s="58">
        <f t="shared" si="26"/>
        <v>47208</v>
      </c>
      <c r="W21" s="26">
        <v>5</v>
      </c>
      <c r="X21" s="282" t="str">
        <f t="shared" si="27"/>
        <v>-</v>
      </c>
      <c r="Y21" s="161">
        <f t="shared" si="0"/>
        <v>0</v>
      </c>
      <c r="Z21" s="159">
        <f t="shared" si="1"/>
        <v>0</v>
      </c>
      <c r="AA21" s="159">
        <f t="shared" si="2"/>
        <v>0</v>
      </c>
      <c r="AB21" s="159">
        <f t="shared" si="3"/>
        <v>0</v>
      </c>
      <c r="AC21" s="160">
        <f t="shared" si="28"/>
        <v>0</v>
      </c>
      <c r="AD21" s="161">
        <f t="shared" si="4"/>
        <v>0</v>
      </c>
      <c r="AE21" s="159">
        <f t="shared" si="5"/>
        <v>0</v>
      </c>
      <c r="AF21" s="159">
        <f t="shared" si="6"/>
        <v>0</v>
      </c>
      <c r="AG21" s="159">
        <f>IF(AND(SUM($AA$16:AA20)&gt;0,SUM($AG$16:AG20)&lt;$O$62,$W21&gt;=$O$65),$O$64,0)</f>
        <v>0</v>
      </c>
      <c r="AH21" s="156">
        <f>IF(SUM($AA$17:$AA20)&gt;0,($O$62-SUM($AG$17:$AG20))*$F$65,0)</f>
        <v>19.237500000000001</v>
      </c>
      <c r="AI21" s="160">
        <f t="shared" si="29"/>
        <v>0</v>
      </c>
      <c r="AJ21" s="156">
        <f t="shared" si="7"/>
        <v>0</v>
      </c>
      <c r="AK21" s="158">
        <f>(SUM($P$31,$P$51)-SUM($AU$17:AU20))*$O$109</f>
        <v>0</v>
      </c>
      <c r="AL21" s="163"/>
      <c r="AM21" s="157">
        <f t="shared" si="8"/>
        <v>0</v>
      </c>
      <c r="AN21" s="164"/>
      <c r="AO21" s="155">
        <f t="shared" si="9"/>
        <v>0</v>
      </c>
      <c r="AP21" s="156">
        <f t="shared" si="10"/>
        <v>0</v>
      </c>
      <c r="AQ21" s="156">
        <f t="shared" si="11"/>
        <v>0</v>
      </c>
      <c r="AR21" s="159">
        <f t="shared" si="12"/>
        <v>0</v>
      </c>
      <c r="AS21" s="160">
        <f t="shared" si="30"/>
        <v>0</v>
      </c>
      <c r="AT21" s="159">
        <f t="shared" si="13"/>
        <v>0</v>
      </c>
      <c r="AU21" s="159">
        <f t="shared" si="14"/>
        <v>0</v>
      </c>
      <c r="AV21" s="159">
        <f t="shared" si="15"/>
        <v>0</v>
      </c>
      <c r="AW21" s="159">
        <f t="shared" si="31"/>
        <v>0</v>
      </c>
      <c r="AX21" s="159">
        <f t="shared" si="32"/>
        <v>0</v>
      </c>
      <c r="AY21" s="159">
        <f t="shared" si="16"/>
        <v>0</v>
      </c>
      <c r="AZ21" s="159">
        <f>IF(AND(SUM($AQ$16:AQ20)&gt;0,SUM($AZ$16:AZ20)&lt;$P$62,$W21&gt;=$P$65),$P$64,0)</f>
        <v>0</v>
      </c>
      <c r="BA21" s="159">
        <f>IF(SUM($AQ$17:$AQ20)&gt;0,($P$62-SUM($AZ$17:$AZ20))*$F$65,0)</f>
        <v>18.224999999999998</v>
      </c>
      <c r="BB21" s="160">
        <f t="shared" si="33"/>
        <v>0</v>
      </c>
      <c r="BC21" s="156">
        <f t="shared" si="34"/>
        <v>0</v>
      </c>
      <c r="BD21" s="157">
        <f t="shared" si="17"/>
        <v>0</v>
      </c>
      <c r="BE21" s="172"/>
      <c r="BF21" s="46">
        <f t="shared" si="35"/>
        <v>0.84400986926103427</v>
      </c>
      <c r="BH21" s="155">
        <f t="shared" si="36"/>
        <v>0</v>
      </c>
      <c r="BI21" s="155">
        <f t="shared" si="37"/>
        <v>0</v>
      </c>
      <c r="BJ21" s="156">
        <f t="shared" si="38"/>
        <v>0</v>
      </c>
      <c r="BK21" s="156">
        <f t="shared" si="39"/>
        <v>0</v>
      </c>
      <c r="BL21" s="156">
        <f t="shared" si="40"/>
        <v>0</v>
      </c>
      <c r="BM21" s="156">
        <f t="shared" si="18"/>
        <v>0</v>
      </c>
      <c r="BN21" s="157">
        <f t="shared" si="41"/>
        <v>0</v>
      </c>
      <c r="BO21" s="156">
        <f t="shared" si="19"/>
        <v>0</v>
      </c>
      <c r="BP21" s="156">
        <f t="shared" si="20"/>
        <v>0</v>
      </c>
      <c r="BQ21" s="156">
        <f t="shared" si="21"/>
        <v>0</v>
      </c>
      <c r="BR21" s="156">
        <f t="shared" si="22"/>
        <v>0</v>
      </c>
      <c r="BS21" s="228">
        <f t="shared" si="42"/>
        <v>0</v>
      </c>
      <c r="BT21" s="156">
        <f t="shared" si="23"/>
        <v>0</v>
      </c>
      <c r="BU21" s="157">
        <f t="shared" si="43"/>
        <v>0</v>
      </c>
      <c r="BV21" s="157">
        <f t="shared" si="24"/>
        <v>0</v>
      </c>
      <c r="BW21" s="153"/>
      <c r="BX21" s="158">
        <f t="shared" si="25"/>
        <v>0</v>
      </c>
      <c r="BY21" s="286">
        <f t="shared" ref="BY21:BY56" si="44">IF(BV21-BX21&gt;=0,0,1)</f>
        <v>0</v>
      </c>
      <c r="CA21"/>
    </row>
    <row r="22" spans="1:79" ht="15.75" customHeight="1">
      <c r="B22" s="56" t="s">
        <v>179</v>
      </c>
      <c r="C22" s="19"/>
      <c r="I22" s="72"/>
      <c r="J22" s="4" t="s">
        <v>179</v>
      </c>
      <c r="N22" s="19" t="s">
        <v>6</v>
      </c>
      <c r="O22" s="36">
        <f>SUM(F23:F24)</f>
        <v>3.4499999999999996E-2</v>
      </c>
      <c r="V22" s="58">
        <f t="shared" si="26"/>
        <v>47573</v>
      </c>
      <c r="W22" s="26">
        <v>6</v>
      </c>
      <c r="X22" s="282" t="str">
        <f t="shared" si="27"/>
        <v>-</v>
      </c>
      <c r="Y22" s="161">
        <f t="shared" si="0"/>
        <v>0</v>
      </c>
      <c r="Z22" s="159">
        <f t="shared" si="1"/>
        <v>0</v>
      </c>
      <c r="AA22" s="159">
        <f t="shared" si="2"/>
        <v>0</v>
      </c>
      <c r="AB22" s="159">
        <f t="shared" si="3"/>
        <v>0</v>
      </c>
      <c r="AC22" s="160">
        <f t="shared" si="28"/>
        <v>0</v>
      </c>
      <c r="AD22" s="161">
        <f t="shared" si="4"/>
        <v>0</v>
      </c>
      <c r="AE22" s="159">
        <f t="shared" si="5"/>
        <v>0</v>
      </c>
      <c r="AF22" s="159">
        <f t="shared" si="6"/>
        <v>0</v>
      </c>
      <c r="AG22" s="159">
        <f>IF(AND(SUM($AA$16:AA21)&gt;0,SUM($AG$16:AG21)&lt;$O$62,$W22&gt;=$O$65),$O$64,0)</f>
        <v>0</v>
      </c>
      <c r="AH22" s="156">
        <f>IF(SUM($AA$17:$AA21)&gt;0,($O$62-SUM($AG$17:$AG21))*$F$65,0)</f>
        <v>19.237500000000001</v>
      </c>
      <c r="AI22" s="160">
        <f t="shared" si="29"/>
        <v>0</v>
      </c>
      <c r="AJ22" s="156">
        <f t="shared" si="7"/>
        <v>0</v>
      </c>
      <c r="AK22" s="158">
        <f>(SUM($P$31,$P$51)-SUM($AU$17:AU21))*$O$109</f>
        <v>0</v>
      </c>
      <c r="AL22" s="163"/>
      <c r="AM22" s="157">
        <f t="shared" si="8"/>
        <v>0</v>
      </c>
      <c r="AN22" s="164"/>
      <c r="AO22" s="155">
        <f t="shared" si="9"/>
        <v>0</v>
      </c>
      <c r="AP22" s="156">
        <f t="shared" si="10"/>
        <v>0</v>
      </c>
      <c r="AQ22" s="156">
        <f t="shared" si="11"/>
        <v>0</v>
      </c>
      <c r="AR22" s="159">
        <f t="shared" si="12"/>
        <v>0</v>
      </c>
      <c r="AS22" s="160">
        <f t="shared" si="30"/>
        <v>0</v>
      </c>
      <c r="AT22" s="159">
        <f t="shared" si="13"/>
        <v>0</v>
      </c>
      <c r="AU22" s="159">
        <f t="shared" si="14"/>
        <v>0</v>
      </c>
      <c r="AV22" s="159">
        <f t="shared" si="15"/>
        <v>0</v>
      </c>
      <c r="AW22" s="159">
        <f t="shared" si="31"/>
        <v>0</v>
      </c>
      <c r="AX22" s="159">
        <f t="shared" si="32"/>
        <v>0</v>
      </c>
      <c r="AY22" s="159">
        <f t="shared" si="16"/>
        <v>0</v>
      </c>
      <c r="AZ22" s="159">
        <f>IF(AND(SUM($AQ$16:AQ21)&gt;0,SUM($AZ$16:AZ21)&lt;$P$62,$W22&gt;=$P$65),$P$64,0)</f>
        <v>0</v>
      </c>
      <c r="BA22" s="159">
        <f>IF(SUM($AQ$17:$AQ21)&gt;0,($P$62-SUM($AZ$17:$AZ21))*$F$65,0)</f>
        <v>18.224999999999998</v>
      </c>
      <c r="BB22" s="160">
        <f t="shared" si="33"/>
        <v>0</v>
      </c>
      <c r="BC22" s="156">
        <f t="shared" si="34"/>
        <v>0</v>
      </c>
      <c r="BD22" s="157">
        <f t="shared" si="17"/>
        <v>0</v>
      </c>
      <c r="BE22" s="172"/>
      <c r="BF22" s="46">
        <f t="shared" si="35"/>
        <v>0.81586260924217913</v>
      </c>
      <c r="BH22" s="155">
        <f t="shared" si="36"/>
        <v>0</v>
      </c>
      <c r="BI22" s="155">
        <f t="shared" si="37"/>
        <v>0</v>
      </c>
      <c r="BJ22" s="156">
        <f t="shared" si="38"/>
        <v>0</v>
      </c>
      <c r="BK22" s="156">
        <f t="shared" si="39"/>
        <v>0</v>
      </c>
      <c r="BL22" s="156">
        <f t="shared" si="40"/>
        <v>0</v>
      </c>
      <c r="BM22" s="156">
        <f t="shared" si="18"/>
        <v>0</v>
      </c>
      <c r="BN22" s="157">
        <f t="shared" si="41"/>
        <v>0</v>
      </c>
      <c r="BO22" s="156">
        <f t="shared" si="19"/>
        <v>0</v>
      </c>
      <c r="BP22" s="156">
        <f t="shared" si="20"/>
        <v>0</v>
      </c>
      <c r="BQ22" s="156">
        <f t="shared" si="21"/>
        <v>0</v>
      </c>
      <c r="BR22" s="156">
        <f t="shared" si="22"/>
        <v>0</v>
      </c>
      <c r="BS22" s="228">
        <f t="shared" si="42"/>
        <v>0</v>
      </c>
      <c r="BT22" s="156">
        <f t="shared" si="23"/>
        <v>0</v>
      </c>
      <c r="BU22" s="157">
        <f t="shared" si="43"/>
        <v>0</v>
      </c>
      <c r="BV22" s="157">
        <f t="shared" si="24"/>
        <v>0</v>
      </c>
      <c r="BW22" s="153"/>
      <c r="BX22" s="158">
        <f t="shared" si="25"/>
        <v>0</v>
      </c>
      <c r="BY22" s="286">
        <f t="shared" si="44"/>
        <v>0</v>
      </c>
      <c r="CA22"/>
    </row>
    <row r="23" spans="1:79" ht="15.75" customHeight="1">
      <c r="C23" t="s">
        <v>180</v>
      </c>
      <c r="F23" s="15">
        <v>1.4500000000000001E-2</v>
      </c>
      <c r="H23" t="s">
        <v>178</v>
      </c>
      <c r="V23" s="58">
        <f t="shared" si="26"/>
        <v>47938</v>
      </c>
      <c r="W23" s="26">
        <v>7</v>
      </c>
      <c r="X23" s="282" t="str">
        <f t="shared" si="27"/>
        <v>-</v>
      </c>
      <c r="Y23" s="161">
        <f t="shared" si="0"/>
        <v>0</v>
      </c>
      <c r="Z23" s="159">
        <f t="shared" si="1"/>
        <v>0</v>
      </c>
      <c r="AA23" s="159">
        <f t="shared" si="2"/>
        <v>0</v>
      </c>
      <c r="AB23" s="159">
        <f t="shared" si="3"/>
        <v>0</v>
      </c>
      <c r="AC23" s="160">
        <f t="shared" si="28"/>
        <v>0</v>
      </c>
      <c r="AD23" s="161">
        <f t="shared" si="4"/>
        <v>0</v>
      </c>
      <c r="AE23" s="159">
        <f t="shared" si="5"/>
        <v>0</v>
      </c>
      <c r="AF23" s="159">
        <f t="shared" si="6"/>
        <v>0</v>
      </c>
      <c r="AG23" s="159">
        <f>IF(AND(SUM($AA$16:AA22)&gt;0,SUM($AG$16:AG22)&lt;$O$62,$W23&gt;=$O$65),$O$64,0)</f>
        <v>64.125</v>
      </c>
      <c r="AH23" s="156">
        <f>IF(SUM($AA$17:$AA22)&gt;0,($O$62-SUM($AG$17:$AG22))*$F$65,0)</f>
        <v>19.237500000000001</v>
      </c>
      <c r="AI23" s="160">
        <f t="shared" si="29"/>
        <v>0</v>
      </c>
      <c r="AJ23" s="156">
        <f t="shared" si="7"/>
        <v>0</v>
      </c>
      <c r="AK23" s="158">
        <f>(SUM($P$31,$P$51)-SUM($AU$17:AU22))*$O$109</f>
        <v>0</v>
      </c>
      <c r="AL23" s="163"/>
      <c r="AM23" s="157">
        <f t="shared" si="8"/>
        <v>0</v>
      </c>
      <c r="AN23" s="164"/>
      <c r="AO23" s="155">
        <f t="shared" si="9"/>
        <v>0</v>
      </c>
      <c r="AP23" s="156">
        <f t="shared" si="10"/>
        <v>0</v>
      </c>
      <c r="AQ23" s="156">
        <f t="shared" si="11"/>
        <v>0</v>
      </c>
      <c r="AR23" s="159">
        <f t="shared" si="12"/>
        <v>0</v>
      </c>
      <c r="AS23" s="160">
        <f t="shared" si="30"/>
        <v>0</v>
      </c>
      <c r="AT23" s="159">
        <f t="shared" si="13"/>
        <v>0</v>
      </c>
      <c r="AU23" s="159">
        <f t="shared" si="14"/>
        <v>0</v>
      </c>
      <c r="AV23" s="159">
        <f t="shared" si="15"/>
        <v>0</v>
      </c>
      <c r="AW23" s="159">
        <f t="shared" si="31"/>
        <v>0</v>
      </c>
      <c r="AX23" s="159">
        <f t="shared" si="32"/>
        <v>0</v>
      </c>
      <c r="AY23" s="159">
        <f t="shared" si="16"/>
        <v>0</v>
      </c>
      <c r="AZ23" s="159">
        <f>IF(AND(SUM($AQ$16:AQ22)&gt;0,SUM($AZ$16:AZ22)&lt;$P$62,$W23&gt;=$P$65),$P$64,0)</f>
        <v>60.75</v>
      </c>
      <c r="BA23" s="159">
        <f>IF(SUM($AQ$17:$AQ22)&gt;0,($P$62-SUM($AZ$17:$AZ22))*$F$65,0)</f>
        <v>18.224999999999998</v>
      </c>
      <c r="BB23" s="160">
        <f t="shared" si="33"/>
        <v>0</v>
      </c>
      <c r="BC23" s="156">
        <f t="shared" si="34"/>
        <v>0</v>
      </c>
      <c r="BD23" s="157">
        <f t="shared" si="17"/>
        <v>0</v>
      </c>
      <c r="BE23" s="172"/>
      <c r="BF23" s="46">
        <f t="shared" si="35"/>
        <v>0.7886540447000282</v>
      </c>
      <c r="BH23" s="155">
        <f t="shared" si="36"/>
        <v>0</v>
      </c>
      <c r="BI23" s="155">
        <f t="shared" si="37"/>
        <v>0</v>
      </c>
      <c r="BJ23" s="156">
        <f t="shared" si="38"/>
        <v>0</v>
      </c>
      <c r="BK23" s="156">
        <f t="shared" si="39"/>
        <v>0</v>
      </c>
      <c r="BL23" s="156">
        <f t="shared" si="40"/>
        <v>0</v>
      </c>
      <c r="BM23" s="156">
        <f t="shared" si="18"/>
        <v>0</v>
      </c>
      <c r="BN23" s="157">
        <f t="shared" si="41"/>
        <v>0</v>
      </c>
      <c r="BO23" s="156">
        <f t="shared" si="19"/>
        <v>0</v>
      </c>
      <c r="BP23" s="156">
        <f t="shared" si="20"/>
        <v>0</v>
      </c>
      <c r="BQ23" s="156">
        <f t="shared" si="21"/>
        <v>0</v>
      </c>
      <c r="BR23" s="156">
        <f t="shared" si="22"/>
        <v>0</v>
      </c>
      <c r="BS23" s="228">
        <f t="shared" si="42"/>
        <v>0</v>
      </c>
      <c r="BT23" s="156">
        <f t="shared" si="23"/>
        <v>0</v>
      </c>
      <c r="BU23" s="157">
        <f t="shared" si="43"/>
        <v>0</v>
      </c>
      <c r="BV23" s="157">
        <f t="shared" si="24"/>
        <v>0</v>
      </c>
      <c r="BW23" s="153"/>
      <c r="BX23" s="158">
        <f t="shared" si="25"/>
        <v>0</v>
      </c>
      <c r="BY23" s="286">
        <f t="shared" si="44"/>
        <v>0</v>
      </c>
      <c r="CA23"/>
    </row>
    <row r="24" spans="1:79" ht="15.75" customHeight="1">
      <c r="C24" t="s">
        <v>26</v>
      </c>
      <c r="F24" s="198">
        <f>事業費用概算!J34</f>
        <v>1.9999999999999997E-2</v>
      </c>
      <c r="V24" s="58">
        <f t="shared" si="26"/>
        <v>48304</v>
      </c>
      <c r="W24" s="26">
        <v>8</v>
      </c>
      <c r="X24" s="282" t="str">
        <f t="shared" si="27"/>
        <v>-</v>
      </c>
      <c r="Y24" s="161">
        <f t="shared" si="0"/>
        <v>0</v>
      </c>
      <c r="Z24" s="159">
        <f t="shared" si="1"/>
        <v>0</v>
      </c>
      <c r="AA24" s="159">
        <f t="shared" si="2"/>
        <v>0</v>
      </c>
      <c r="AB24" s="159">
        <f t="shared" si="3"/>
        <v>0</v>
      </c>
      <c r="AC24" s="160">
        <f t="shared" si="28"/>
        <v>0</v>
      </c>
      <c r="AD24" s="161">
        <f t="shared" si="4"/>
        <v>0</v>
      </c>
      <c r="AE24" s="159">
        <f t="shared" si="5"/>
        <v>0</v>
      </c>
      <c r="AF24" s="159">
        <f t="shared" si="6"/>
        <v>0</v>
      </c>
      <c r="AG24" s="159">
        <f>IF(AND(SUM($AA$16:AA23)&gt;0,SUM($AG$16:AG23)&lt;$O$62,$W24&gt;=$O$65),$O$64,0)</f>
        <v>64.125</v>
      </c>
      <c r="AH24" s="156">
        <f>IF(SUM($AA$17:$AA23)&gt;0,($O$62-SUM($AG$17:$AG23))*$F$65,0)</f>
        <v>18.275624999999998</v>
      </c>
      <c r="AI24" s="160">
        <f t="shared" si="29"/>
        <v>0</v>
      </c>
      <c r="AJ24" s="156">
        <f t="shared" si="7"/>
        <v>0</v>
      </c>
      <c r="AK24" s="158">
        <f>(SUM($P$31,$P$51)-SUM($AU$17:AU23))*$O$109</f>
        <v>0</v>
      </c>
      <c r="AL24" s="163"/>
      <c r="AM24" s="157">
        <f t="shared" si="8"/>
        <v>0</v>
      </c>
      <c r="AN24" s="164"/>
      <c r="AO24" s="155">
        <f t="shared" si="9"/>
        <v>0</v>
      </c>
      <c r="AP24" s="156">
        <f t="shared" si="10"/>
        <v>0</v>
      </c>
      <c r="AQ24" s="156">
        <f t="shared" si="11"/>
        <v>0</v>
      </c>
      <c r="AR24" s="159">
        <f t="shared" si="12"/>
        <v>0</v>
      </c>
      <c r="AS24" s="160">
        <f t="shared" si="30"/>
        <v>0</v>
      </c>
      <c r="AT24" s="159">
        <f t="shared" si="13"/>
        <v>0</v>
      </c>
      <c r="AU24" s="159">
        <f t="shared" si="14"/>
        <v>0</v>
      </c>
      <c r="AV24" s="159">
        <f t="shared" si="15"/>
        <v>0</v>
      </c>
      <c r="AW24" s="159">
        <f t="shared" si="31"/>
        <v>0</v>
      </c>
      <c r="AX24" s="159">
        <f t="shared" si="32"/>
        <v>0</v>
      </c>
      <c r="AY24" s="159">
        <f t="shared" si="16"/>
        <v>0</v>
      </c>
      <c r="AZ24" s="159">
        <f>IF(AND(SUM($AQ$16:AQ23)&gt;0,SUM($AZ$16:AZ23)&lt;$P$62,$W24&gt;=$P$65),$P$64,0)</f>
        <v>60.75</v>
      </c>
      <c r="BA24" s="159">
        <f>IF(SUM($AQ$17:$AQ23)&gt;0,($P$62-SUM($AZ$17:$AZ23))*$F$65,0)</f>
        <v>17.313749999999999</v>
      </c>
      <c r="BB24" s="160">
        <f t="shared" si="33"/>
        <v>0</v>
      </c>
      <c r="BC24" s="156">
        <f t="shared" si="34"/>
        <v>0</v>
      </c>
      <c r="BD24" s="157">
        <f t="shared" si="17"/>
        <v>0</v>
      </c>
      <c r="BE24" s="172"/>
      <c r="BF24" s="46">
        <f t="shared" si="35"/>
        <v>0.76235287066218294</v>
      </c>
      <c r="BH24" s="155">
        <f t="shared" si="36"/>
        <v>0</v>
      </c>
      <c r="BI24" s="155">
        <f t="shared" si="37"/>
        <v>0</v>
      </c>
      <c r="BJ24" s="156">
        <f t="shared" si="38"/>
        <v>0</v>
      </c>
      <c r="BK24" s="156">
        <f t="shared" si="39"/>
        <v>0</v>
      </c>
      <c r="BL24" s="156">
        <f t="shared" si="40"/>
        <v>0</v>
      </c>
      <c r="BM24" s="156">
        <f t="shared" si="18"/>
        <v>0</v>
      </c>
      <c r="BN24" s="157">
        <f t="shared" si="41"/>
        <v>0</v>
      </c>
      <c r="BO24" s="156">
        <f t="shared" si="19"/>
        <v>0</v>
      </c>
      <c r="BP24" s="156">
        <f t="shared" si="20"/>
        <v>0</v>
      </c>
      <c r="BQ24" s="156">
        <f t="shared" si="21"/>
        <v>0</v>
      </c>
      <c r="BR24" s="156">
        <f t="shared" si="22"/>
        <v>0</v>
      </c>
      <c r="BS24" s="228">
        <f t="shared" si="42"/>
        <v>0</v>
      </c>
      <c r="BT24" s="156">
        <f t="shared" si="23"/>
        <v>0</v>
      </c>
      <c r="BU24" s="157">
        <f t="shared" si="43"/>
        <v>0</v>
      </c>
      <c r="BV24" s="157">
        <f t="shared" si="24"/>
        <v>0</v>
      </c>
      <c r="BW24" s="153"/>
      <c r="BX24" s="158">
        <f t="shared" si="25"/>
        <v>0</v>
      </c>
      <c r="BY24" s="286">
        <f t="shared" si="44"/>
        <v>0</v>
      </c>
      <c r="CA24"/>
    </row>
    <row r="25" spans="1:79" ht="15.75" customHeight="1">
      <c r="V25" s="58">
        <f t="shared" si="26"/>
        <v>48669</v>
      </c>
      <c r="W25" s="26">
        <v>9</v>
      </c>
      <c r="X25" s="282" t="str">
        <f t="shared" si="27"/>
        <v>-</v>
      </c>
      <c r="Y25" s="161">
        <f t="shared" si="0"/>
        <v>0</v>
      </c>
      <c r="Z25" s="159">
        <f t="shared" si="1"/>
        <v>0</v>
      </c>
      <c r="AA25" s="159">
        <f t="shared" si="2"/>
        <v>0</v>
      </c>
      <c r="AB25" s="159">
        <f t="shared" si="3"/>
        <v>0</v>
      </c>
      <c r="AC25" s="160">
        <f t="shared" si="28"/>
        <v>0</v>
      </c>
      <c r="AD25" s="161">
        <f t="shared" si="4"/>
        <v>0</v>
      </c>
      <c r="AE25" s="159">
        <f t="shared" si="5"/>
        <v>0</v>
      </c>
      <c r="AF25" s="159">
        <f t="shared" si="6"/>
        <v>0</v>
      </c>
      <c r="AG25" s="159">
        <f>IF(AND(SUM($AA$16:AA24)&gt;0,SUM($AG$16:AG24)&lt;$O$62,$W25&gt;=$O$65),$O$64,0)</f>
        <v>64.125</v>
      </c>
      <c r="AH25" s="156">
        <f>IF(SUM($AA$17:$AA24)&gt;0,($O$62-SUM($AG$17:$AG24))*$F$65,0)</f>
        <v>17.313749999999999</v>
      </c>
      <c r="AI25" s="160">
        <f t="shared" si="29"/>
        <v>0</v>
      </c>
      <c r="AJ25" s="156">
        <f t="shared" si="7"/>
        <v>0</v>
      </c>
      <c r="AK25" s="158">
        <f>(SUM($P$31,$P$51)-SUM($AU$17:AU24))*$O$109</f>
        <v>0</v>
      </c>
      <c r="AL25" s="163"/>
      <c r="AM25" s="157">
        <f t="shared" si="8"/>
        <v>0</v>
      </c>
      <c r="AN25" s="164"/>
      <c r="AO25" s="155">
        <f t="shared" si="9"/>
        <v>0</v>
      </c>
      <c r="AP25" s="156">
        <f t="shared" si="10"/>
        <v>0</v>
      </c>
      <c r="AQ25" s="156">
        <f t="shared" si="11"/>
        <v>0</v>
      </c>
      <c r="AR25" s="159">
        <f t="shared" si="12"/>
        <v>0</v>
      </c>
      <c r="AS25" s="160">
        <f t="shared" si="30"/>
        <v>0</v>
      </c>
      <c r="AT25" s="159">
        <f t="shared" si="13"/>
        <v>0</v>
      </c>
      <c r="AU25" s="159">
        <f t="shared" si="14"/>
        <v>0</v>
      </c>
      <c r="AV25" s="159">
        <f t="shared" si="15"/>
        <v>0</v>
      </c>
      <c r="AW25" s="159">
        <f t="shared" si="31"/>
        <v>0</v>
      </c>
      <c r="AX25" s="159">
        <f t="shared" si="32"/>
        <v>0</v>
      </c>
      <c r="AY25" s="159">
        <f t="shared" si="16"/>
        <v>0</v>
      </c>
      <c r="AZ25" s="159">
        <f>IF(AND(SUM($AQ$16:AQ24)&gt;0,SUM($AZ$16:AZ24)&lt;$P$62,$W25&gt;=$P$65),$P$64,0)</f>
        <v>60.75</v>
      </c>
      <c r="BA25" s="159">
        <f>IF(SUM($AQ$17:$AQ24)&gt;0,($P$62-SUM($AZ$17:$AZ24))*$F$65,0)</f>
        <v>16.4025</v>
      </c>
      <c r="BB25" s="160">
        <f t="shared" si="33"/>
        <v>0</v>
      </c>
      <c r="BC25" s="156">
        <f t="shared" si="34"/>
        <v>0</v>
      </c>
      <c r="BD25" s="157">
        <f t="shared" si="17"/>
        <v>0</v>
      </c>
      <c r="BE25" s="172"/>
      <c r="BF25" s="46">
        <f t="shared" si="35"/>
        <v>0.73692882615967414</v>
      </c>
      <c r="BH25" s="155">
        <f t="shared" si="36"/>
        <v>0</v>
      </c>
      <c r="BI25" s="155">
        <f t="shared" si="37"/>
        <v>0</v>
      </c>
      <c r="BJ25" s="156">
        <f t="shared" si="38"/>
        <v>0</v>
      </c>
      <c r="BK25" s="156">
        <f t="shared" si="39"/>
        <v>0</v>
      </c>
      <c r="BL25" s="156">
        <f t="shared" si="40"/>
        <v>0</v>
      </c>
      <c r="BM25" s="156">
        <f t="shared" si="18"/>
        <v>0</v>
      </c>
      <c r="BN25" s="157">
        <f t="shared" si="41"/>
        <v>0</v>
      </c>
      <c r="BO25" s="156">
        <f t="shared" si="19"/>
        <v>0</v>
      </c>
      <c r="BP25" s="156">
        <f t="shared" si="20"/>
        <v>0</v>
      </c>
      <c r="BQ25" s="156">
        <f t="shared" si="21"/>
        <v>0</v>
      </c>
      <c r="BR25" s="156">
        <f t="shared" si="22"/>
        <v>0</v>
      </c>
      <c r="BS25" s="228">
        <f t="shared" si="42"/>
        <v>0</v>
      </c>
      <c r="BT25" s="156">
        <f t="shared" si="23"/>
        <v>0</v>
      </c>
      <c r="BU25" s="157">
        <f t="shared" si="43"/>
        <v>0</v>
      </c>
      <c r="BV25" s="157">
        <f t="shared" si="24"/>
        <v>0</v>
      </c>
      <c r="BW25" s="153"/>
      <c r="BX25" s="158">
        <f t="shared" si="25"/>
        <v>0</v>
      </c>
      <c r="BY25" s="286">
        <f t="shared" si="44"/>
        <v>0</v>
      </c>
      <c r="CA25"/>
    </row>
    <row r="26" spans="1:79" ht="13.5" customHeight="1">
      <c r="V26" s="58">
        <f t="shared" si="26"/>
        <v>49034</v>
      </c>
      <c r="W26" s="26">
        <v>10</v>
      </c>
      <c r="X26" s="282" t="str">
        <f t="shared" si="27"/>
        <v>-</v>
      </c>
      <c r="Y26" s="161">
        <f t="shared" si="0"/>
        <v>0</v>
      </c>
      <c r="Z26" s="159">
        <f t="shared" si="1"/>
        <v>0</v>
      </c>
      <c r="AA26" s="159">
        <f t="shared" si="2"/>
        <v>0</v>
      </c>
      <c r="AB26" s="159">
        <f t="shared" si="3"/>
        <v>0</v>
      </c>
      <c r="AC26" s="160">
        <f t="shared" si="28"/>
        <v>0</v>
      </c>
      <c r="AD26" s="161">
        <f t="shared" si="4"/>
        <v>0</v>
      </c>
      <c r="AE26" s="159">
        <f t="shared" si="5"/>
        <v>0</v>
      </c>
      <c r="AF26" s="159">
        <f t="shared" si="6"/>
        <v>0</v>
      </c>
      <c r="AG26" s="159">
        <f>IF(AND(SUM($AA$16:AA25)&gt;0,SUM($AG$16:AG25)&lt;$O$62,$W26&gt;=$O$65),$O$64,0)</f>
        <v>64.125</v>
      </c>
      <c r="AH26" s="156">
        <f>IF(SUM($AA$17:$AA25)&gt;0,($O$62-SUM($AG$17:$AG25))*$F$65,0)</f>
        <v>16.351875</v>
      </c>
      <c r="AI26" s="160">
        <f t="shared" si="29"/>
        <v>0</v>
      </c>
      <c r="AJ26" s="156">
        <f t="shared" si="7"/>
        <v>0</v>
      </c>
      <c r="AK26" s="158">
        <f>(SUM($P$31,$P$51)-SUM($AU$17:AU25))*$O$109</f>
        <v>0</v>
      </c>
      <c r="AL26" s="163"/>
      <c r="AM26" s="157">
        <f t="shared" si="8"/>
        <v>0</v>
      </c>
      <c r="AN26" s="164"/>
      <c r="AO26" s="155">
        <f t="shared" si="9"/>
        <v>0</v>
      </c>
      <c r="AP26" s="156">
        <f t="shared" si="10"/>
        <v>0</v>
      </c>
      <c r="AQ26" s="156">
        <f t="shared" si="11"/>
        <v>0</v>
      </c>
      <c r="AR26" s="159">
        <f t="shared" si="12"/>
        <v>0</v>
      </c>
      <c r="AS26" s="160">
        <f t="shared" si="30"/>
        <v>0</v>
      </c>
      <c r="AT26" s="159">
        <f t="shared" si="13"/>
        <v>0</v>
      </c>
      <c r="AU26" s="159">
        <f t="shared" si="14"/>
        <v>0</v>
      </c>
      <c r="AV26" s="159">
        <f t="shared" si="15"/>
        <v>0</v>
      </c>
      <c r="AW26" s="159">
        <f t="shared" si="31"/>
        <v>0</v>
      </c>
      <c r="AX26" s="159">
        <f t="shared" si="32"/>
        <v>0</v>
      </c>
      <c r="AY26" s="159">
        <f t="shared" si="16"/>
        <v>0</v>
      </c>
      <c r="AZ26" s="159">
        <f>IF(AND(SUM($AQ$16:AQ25)&gt;0,SUM($AZ$16:AZ25)&lt;$P$62,$W26&gt;=$P$65),$P$64,0)</f>
        <v>60.75</v>
      </c>
      <c r="BA26" s="159">
        <f>IF(SUM($AQ$17:$AQ25)&gt;0,($P$62-SUM($AZ$17:$AZ25))*$F$65,0)</f>
        <v>15.491249999999999</v>
      </c>
      <c r="BB26" s="160">
        <f t="shared" si="33"/>
        <v>0</v>
      </c>
      <c r="BC26" s="156">
        <f t="shared" si="34"/>
        <v>0</v>
      </c>
      <c r="BD26" s="157">
        <f t="shared" si="17"/>
        <v>0</v>
      </c>
      <c r="BE26" s="172"/>
      <c r="BF26" s="46">
        <f t="shared" si="35"/>
        <v>0.71235265941002823</v>
      </c>
      <c r="BH26" s="155">
        <f t="shared" si="36"/>
        <v>0</v>
      </c>
      <c r="BI26" s="155">
        <f t="shared" si="37"/>
        <v>0</v>
      </c>
      <c r="BJ26" s="156">
        <f t="shared" si="38"/>
        <v>0</v>
      </c>
      <c r="BK26" s="156">
        <f t="shared" si="39"/>
        <v>0</v>
      </c>
      <c r="BL26" s="156">
        <f t="shared" si="40"/>
        <v>0</v>
      </c>
      <c r="BM26" s="156">
        <f t="shared" si="18"/>
        <v>0</v>
      </c>
      <c r="BN26" s="157">
        <f t="shared" si="41"/>
        <v>0</v>
      </c>
      <c r="BO26" s="156">
        <f t="shared" si="19"/>
        <v>0</v>
      </c>
      <c r="BP26" s="156">
        <f t="shared" si="20"/>
        <v>0</v>
      </c>
      <c r="BQ26" s="156">
        <f t="shared" si="21"/>
        <v>0</v>
      </c>
      <c r="BR26" s="156">
        <f t="shared" si="22"/>
        <v>0</v>
      </c>
      <c r="BS26" s="228">
        <f t="shared" si="42"/>
        <v>0</v>
      </c>
      <c r="BT26" s="156">
        <f t="shared" si="23"/>
        <v>0</v>
      </c>
      <c r="BU26" s="157">
        <f t="shared" si="43"/>
        <v>0</v>
      </c>
      <c r="BV26" s="157">
        <f t="shared" si="24"/>
        <v>0</v>
      </c>
      <c r="BW26" s="153"/>
      <c r="BX26" s="158">
        <f t="shared" si="25"/>
        <v>0</v>
      </c>
      <c r="BY26" s="286">
        <f t="shared" si="44"/>
        <v>0</v>
      </c>
      <c r="CA26"/>
    </row>
    <row r="27" spans="1:79" ht="15.75" customHeight="1">
      <c r="A27" s="4" t="s">
        <v>118</v>
      </c>
      <c r="H27" s="72"/>
      <c r="I27" s="72"/>
      <c r="J27" s="4" t="s">
        <v>122</v>
      </c>
      <c r="V27" s="58">
        <f t="shared" si="26"/>
        <v>49399</v>
      </c>
      <c r="W27" s="26">
        <v>11</v>
      </c>
      <c r="X27" s="282" t="str">
        <f t="shared" si="27"/>
        <v>-</v>
      </c>
      <c r="Y27" s="161">
        <f t="shared" si="0"/>
        <v>0</v>
      </c>
      <c r="Z27" s="159">
        <f t="shared" si="1"/>
        <v>0</v>
      </c>
      <c r="AA27" s="159">
        <f t="shared" si="2"/>
        <v>0</v>
      </c>
      <c r="AB27" s="159">
        <f t="shared" si="3"/>
        <v>0</v>
      </c>
      <c r="AC27" s="160">
        <f t="shared" si="28"/>
        <v>0</v>
      </c>
      <c r="AD27" s="161">
        <f t="shared" si="4"/>
        <v>0</v>
      </c>
      <c r="AE27" s="159">
        <f t="shared" si="5"/>
        <v>0</v>
      </c>
      <c r="AF27" s="159">
        <f t="shared" si="6"/>
        <v>0</v>
      </c>
      <c r="AG27" s="159">
        <f>IF(AND(SUM($AA$16:AA26)&gt;0,SUM($AG$16:AG26)&lt;$O$62,$W27&gt;=$O$65),$O$64,0)</f>
        <v>64.125</v>
      </c>
      <c r="AH27" s="156">
        <f>IF(SUM($AA$17:$AA26)&gt;0,($O$62-SUM($AG$17:$AG26))*$F$65,0)</f>
        <v>15.389999999999999</v>
      </c>
      <c r="AI27" s="160">
        <f t="shared" si="29"/>
        <v>0</v>
      </c>
      <c r="AJ27" s="156">
        <f t="shared" si="7"/>
        <v>0</v>
      </c>
      <c r="AK27" s="158">
        <f>(SUM($P$31,$P$51)-SUM($AU$17:AU26))*$O$109</f>
        <v>0</v>
      </c>
      <c r="AL27" s="163"/>
      <c r="AM27" s="157">
        <f t="shared" si="8"/>
        <v>0</v>
      </c>
      <c r="AN27" s="164"/>
      <c r="AO27" s="155">
        <f t="shared" si="9"/>
        <v>0</v>
      </c>
      <c r="AP27" s="156">
        <f t="shared" si="10"/>
        <v>0</v>
      </c>
      <c r="AQ27" s="156">
        <f t="shared" si="11"/>
        <v>0</v>
      </c>
      <c r="AR27" s="159">
        <f t="shared" si="12"/>
        <v>0</v>
      </c>
      <c r="AS27" s="160">
        <f t="shared" si="30"/>
        <v>0</v>
      </c>
      <c r="AT27" s="159">
        <f t="shared" si="13"/>
        <v>0</v>
      </c>
      <c r="AU27" s="159">
        <f t="shared" si="14"/>
        <v>0</v>
      </c>
      <c r="AV27" s="159">
        <f t="shared" si="15"/>
        <v>0</v>
      </c>
      <c r="AW27" s="159">
        <f t="shared" si="31"/>
        <v>0</v>
      </c>
      <c r="AX27" s="159">
        <f t="shared" si="32"/>
        <v>0</v>
      </c>
      <c r="AY27" s="159">
        <f t="shared" si="16"/>
        <v>0</v>
      </c>
      <c r="AZ27" s="159">
        <f>IF(AND(SUM($AQ$16:AQ26)&gt;0,SUM($AZ$16:AZ26)&lt;$P$62,$W27&gt;=$P$65),$P$64,0)</f>
        <v>60.75</v>
      </c>
      <c r="BA27" s="159">
        <f>IF(SUM($AQ$17:$AQ26)&gt;0,($P$62-SUM($AZ$17:$AZ26))*$F$65,0)</f>
        <v>14.58</v>
      </c>
      <c r="BB27" s="160">
        <f t="shared" si="33"/>
        <v>0</v>
      </c>
      <c r="BC27" s="156">
        <f t="shared" si="34"/>
        <v>0</v>
      </c>
      <c r="BD27" s="157">
        <f t="shared" si="17"/>
        <v>0</v>
      </c>
      <c r="BE27" s="172"/>
      <c r="BF27" s="46">
        <f t="shared" si="35"/>
        <v>0.68859609416145795</v>
      </c>
      <c r="BH27" s="155">
        <f t="shared" si="36"/>
        <v>0</v>
      </c>
      <c r="BI27" s="155">
        <f t="shared" si="37"/>
        <v>0</v>
      </c>
      <c r="BJ27" s="156">
        <f t="shared" si="38"/>
        <v>0</v>
      </c>
      <c r="BK27" s="156">
        <f t="shared" si="39"/>
        <v>0</v>
      </c>
      <c r="BL27" s="156">
        <f t="shared" si="40"/>
        <v>0</v>
      </c>
      <c r="BM27" s="156">
        <f t="shared" si="18"/>
        <v>0</v>
      </c>
      <c r="BN27" s="157">
        <f t="shared" si="41"/>
        <v>0</v>
      </c>
      <c r="BO27" s="156">
        <f t="shared" si="19"/>
        <v>0</v>
      </c>
      <c r="BP27" s="156">
        <f t="shared" si="20"/>
        <v>0</v>
      </c>
      <c r="BQ27" s="156">
        <f t="shared" si="21"/>
        <v>0</v>
      </c>
      <c r="BR27" s="156">
        <f t="shared" si="22"/>
        <v>0</v>
      </c>
      <c r="BS27" s="228">
        <f t="shared" si="42"/>
        <v>0</v>
      </c>
      <c r="BT27" s="156">
        <f t="shared" si="23"/>
        <v>0</v>
      </c>
      <c r="BU27" s="157">
        <f t="shared" si="43"/>
        <v>0</v>
      </c>
      <c r="BV27" s="157">
        <f t="shared" si="24"/>
        <v>0</v>
      </c>
      <c r="BW27" s="153"/>
      <c r="BX27" s="158">
        <f t="shared" si="25"/>
        <v>0</v>
      </c>
      <c r="BY27" s="286">
        <f t="shared" si="44"/>
        <v>0</v>
      </c>
      <c r="CA27"/>
    </row>
    <row r="28" spans="1:79" ht="15.75" customHeight="1">
      <c r="B28" t="s">
        <v>123</v>
      </c>
      <c r="D28" t="s">
        <v>8</v>
      </c>
      <c r="F28" s="52">
        <f>SUM(F29:F30)</f>
        <v>3000</v>
      </c>
      <c r="J28" s="4" t="s">
        <v>194</v>
      </c>
      <c r="O28" t="s">
        <v>0</v>
      </c>
      <c r="P28" t="s">
        <v>1</v>
      </c>
      <c r="V28" s="58">
        <f t="shared" si="26"/>
        <v>49765</v>
      </c>
      <c r="W28" s="26">
        <v>12</v>
      </c>
      <c r="X28" s="282" t="str">
        <f t="shared" si="27"/>
        <v>-</v>
      </c>
      <c r="Y28" s="161">
        <f t="shared" si="0"/>
        <v>0</v>
      </c>
      <c r="Z28" s="159">
        <f t="shared" si="1"/>
        <v>0</v>
      </c>
      <c r="AA28" s="159">
        <f t="shared" si="2"/>
        <v>0</v>
      </c>
      <c r="AB28" s="159">
        <f t="shared" si="3"/>
        <v>0</v>
      </c>
      <c r="AC28" s="160">
        <f t="shared" si="28"/>
        <v>0</v>
      </c>
      <c r="AD28" s="161">
        <f t="shared" si="4"/>
        <v>0</v>
      </c>
      <c r="AE28" s="159">
        <f t="shared" si="5"/>
        <v>0</v>
      </c>
      <c r="AF28" s="159">
        <f t="shared" si="6"/>
        <v>0</v>
      </c>
      <c r="AG28" s="159">
        <f>IF(AND(SUM($AA$16:AA27)&gt;0,SUM($AG$16:AG27)&lt;$O$62,$W28&gt;=$O$65),$O$64,0)</f>
        <v>64.125</v>
      </c>
      <c r="AH28" s="156">
        <f>IF(SUM($AA$17:$AA27)&gt;0,($O$62-SUM($AG$17:$AG27))*$F$65,0)</f>
        <v>14.428125</v>
      </c>
      <c r="AI28" s="160">
        <f t="shared" si="29"/>
        <v>0</v>
      </c>
      <c r="AJ28" s="156">
        <f t="shared" si="7"/>
        <v>0</v>
      </c>
      <c r="AK28" s="158">
        <f>(SUM($P$31,$P$51)-SUM($AU$17:AU27))*$O$109</f>
        <v>0</v>
      </c>
      <c r="AL28" s="163"/>
      <c r="AM28" s="157">
        <f t="shared" si="8"/>
        <v>0</v>
      </c>
      <c r="AN28" s="164"/>
      <c r="AO28" s="155">
        <f t="shared" si="9"/>
        <v>0</v>
      </c>
      <c r="AP28" s="156">
        <f t="shared" si="10"/>
        <v>0</v>
      </c>
      <c r="AQ28" s="156">
        <f t="shared" si="11"/>
        <v>0</v>
      </c>
      <c r="AR28" s="159">
        <f t="shared" si="12"/>
        <v>0</v>
      </c>
      <c r="AS28" s="160">
        <f t="shared" si="30"/>
        <v>0</v>
      </c>
      <c r="AT28" s="159">
        <f t="shared" si="13"/>
        <v>0</v>
      </c>
      <c r="AU28" s="159">
        <f t="shared" si="14"/>
        <v>0</v>
      </c>
      <c r="AV28" s="159">
        <f t="shared" si="15"/>
        <v>0</v>
      </c>
      <c r="AW28" s="159">
        <f t="shared" si="31"/>
        <v>0</v>
      </c>
      <c r="AX28" s="159">
        <f t="shared" si="32"/>
        <v>0</v>
      </c>
      <c r="AY28" s="159">
        <f t="shared" si="16"/>
        <v>0</v>
      </c>
      <c r="AZ28" s="159">
        <f>IF(AND(SUM($AQ$16:AQ27)&gt;0,SUM($AZ$16:AZ27)&lt;$P$62,$W28&gt;=$P$65),$P$64,0)</f>
        <v>60.75</v>
      </c>
      <c r="BA28" s="159">
        <f>IF(SUM($AQ$17:$AQ27)&gt;0,($P$62-SUM($AZ$17:$AZ27))*$F$65,0)</f>
        <v>13.668749999999999</v>
      </c>
      <c r="BB28" s="160">
        <f t="shared" si="33"/>
        <v>0</v>
      </c>
      <c r="BC28" s="156">
        <f t="shared" si="34"/>
        <v>0</v>
      </c>
      <c r="BD28" s="157">
        <f t="shared" si="17"/>
        <v>0</v>
      </c>
      <c r="BE28" s="172"/>
      <c r="BF28" s="46">
        <f t="shared" si="35"/>
        <v>0.66563179715945675</v>
      </c>
      <c r="BH28" s="155">
        <f t="shared" si="36"/>
        <v>0</v>
      </c>
      <c r="BI28" s="155">
        <f t="shared" si="37"/>
        <v>0</v>
      </c>
      <c r="BJ28" s="156">
        <f t="shared" si="38"/>
        <v>0</v>
      </c>
      <c r="BK28" s="156">
        <f t="shared" si="39"/>
        <v>0</v>
      </c>
      <c r="BL28" s="156">
        <f t="shared" si="40"/>
        <v>0</v>
      </c>
      <c r="BM28" s="156">
        <f t="shared" si="18"/>
        <v>0</v>
      </c>
      <c r="BN28" s="157">
        <f t="shared" si="41"/>
        <v>0</v>
      </c>
      <c r="BO28" s="156">
        <f t="shared" si="19"/>
        <v>0</v>
      </c>
      <c r="BP28" s="156">
        <f t="shared" si="20"/>
        <v>0</v>
      </c>
      <c r="BQ28" s="156">
        <f t="shared" si="21"/>
        <v>0</v>
      </c>
      <c r="BR28" s="156">
        <f t="shared" si="22"/>
        <v>0</v>
      </c>
      <c r="BS28" s="228">
        <f t="shared" si="42"/>
        <v>0</v>
      </c>
      <c r="BT28" s="156">
        <f t="shared" si="23"/>
        <v>0</v>
      </c>
      <c r="BU28" s="157">
        <f t="shared" si="43"/>
        <v>0</v>
      </c>
      <c r="BV28" s="157">
        <f t="shared" si="24"/>
        <v>0</v>
      </c>
      <c r="BW28" s="153"/>
      <c r="BX28" s="158">
        <f t="shared" si="25"/>
        <v>0</v>
      </c>
      <c r="BY28" s="286">
        <f t="shared" si="44"/>
        <v>0</v>
      </c>
      <c r="CA28"/>
    </row>
    <row r="29" spans="1:79" ht="15.75" customHeight="1">
      <c r="C29" s="2" t="s">
        <v>72</v>
      </c>
      <c r="D29" t="s">
        <v>8</v>
      </c>
      <c r="F29" s="290">
        <f>事業費用概算!G6</f>
        <v>0</v>
      </c>
      <c r="K29" t="s">
        <v>29</v>
      </c>
      <c r="N29" s="19" t="s">
        <v>8</v>
      </c>
      <c r="O29" s="52">
        <f>F30*$F$50+F29</f>
        <v>2850</v>
      </c>
      <c r="P29" s="52">
        <f>F28*(1-F51)</f>
        <v>2700</v>
      </c>
      <c r="Q29" t="s">
        <v>59</v>
      </c>
      <c r="V29" s="58">
        <f t="shared" si="26"/>
        <v>50130</v>
      </c>
      <c r="W29" s="26">
        <v>13</v>
      </c>
      <c r="X29" s="282" t="str">
        <f t="shared" si="27"/>
        <v>-</v>
      </c>
      <c r="Y29" s="161">
        <f t="shared" si="0"/>
        <v>0</v>
      </c>
      <c r="Z29" s="159">
        <f t="shared" si="1"/>
        <v>0</v>
      </c>
      <c r="AA29" s="159">
        <f t="shared" si="2"/>
        <v>0</v>
      </c>
      <c r="AB29" s="159">
        <f t="shared" si="3"/>
        <v>0</v>
      </c>
      <c r="AC29" s="160">
        <f t="shared" si="28"/>
        <v>0</v>
      </c>
      <c r="AD29" s="161">
        <f t="shared" si="4"/>
        <v>0</v>
      </c>
      <c r="AE29" s="159">
        <f t="shared" si="5"/>
        <v>0</v>
      </c>
      <c r="AF29" s="159">
        <f t="shared" si="6"/>
        <v>0</v>
      </c>
      <c r="AG29" s="159">
        <f>IF(AND(SUM($AA$16:AA28)&gt;0,SUM($AG$16:AG28)&lt;$O$62,$W29&gt;=$O$65),$O$64,0)</f>
        <v>64.125</v>
      </c>
      <c r="AH29" s="156">
        <f>IF(SUM($AA$17:$AA28)&gt;0,($O$62-SUM($AG$17:$AG28))*$F$65,0)</f>
        <v>13.466249999999999</v>
      </c>
      <c r="AI29" s="160">
        <f t="shared" si="29"/>
        <v>0</v>
      </c>
      <c r="AJ29" s="156">
        <f t="shared" si="7"/>
        <v>0</v>
      </c>
      <c r="AK29" s="158">
        <f>(SUM($P$31,$P$51)-SUM($AU$17:AU28))*$O$109</f>
        <v>0</v>
      </c>
      <c r="AL29" s="163"/>
      <c r="AM29" s="157">
        <f t="shared" si="8"/>
        <v>0</v>
      </c>
      <c r="AN29" s="164"/>
      <c r="AO29" s="155">
        <f t="shared" si="9"/>
        <v>0</v>
      </c>
      <c r="AP29" s="156">
        <f t="shared" si="10"/>
        <v>0</v>
      </c>
      <c r="AQ29" s="156">
        <f t="shared" si="11"/>
        <v>0</v>
      </c>
      <c r="AR29" s="159">
        <f t="shared" si="12"/>
        <v>0</v>
      </c>
      <c r="AS29" s="160">
        <f t="shared" si="30"/>
        <v>0</v>
      </c>
      <c r="AT29" s="159">
        <f t="shared" si="13"/>
        <v>0</v>
      </c>
      <c r="AU29" s="159">
        <f t="shared" si="14"/>
        <v>0</v>
      </c>
      <c r="AV29" s="159">
        <f t="shared" si="15"/>
        <v>0</v>
      </c>
      <c r="AW29" s="159">
        <f t="shared" si="31"/>
        <v>0</v>
      </c>
      <c r="AX29" s="159">
        <f t="shared" si="32"/>
        <v>0</v>
      </c>
      <c r="AY29" s="159">
        <f t="shared" si="16"/>
        <v>0</v>
      </c>
      <c r="AZ29" s="159">
        <f>IF(AND(SUM($AQ$16:AQ28)&gt;0,SUM($AZ$16:AZ28)&lt;$P$62,$W29&gt;=$P$65),$P$64,0)</f>
        <v>60.75</v>
      </c>
      <c r="BA29" s="159">
        <f>IF(SUM($AQ$17:$AQ28)&gt;0,($P$62-SUM($AZ$17:$AZ28))*$F$65,0)</f>
        <v>12.7575</v>
      </c>
      <c r="BB29" s="160">
        <f t="shared" si="33"/>
        <v>0</v>
      </c>
      <c r="BC29" s="156">
        <f t="shared" si="34"/>
        <v>0</v>
      </c>
      <c r="BD29" s="157">
        <f t="shared" si="17"/>
        <v>0</v>
      </c>
      <c r="BE29" s="172"/>
      <c r="BF29" s="46">
        <f t="shared" si="35"/>
        <v>0.64343334669836327</v>
      </c>
      <c r="BH29" s="155">
        <f t="shared" si="36"/>
        <v>0</v>
      </c>
      <c r="BI29" s="155">
        <f t="shared" si="37"/>
        <v>0</v>
      </c>
      <c r="BJ29" s="156">
        <f t="shared" si="38"/>
        <v>0</v>
      </c>
      <c r="BK29" s="156">
        <f t="shared" si="39"/>
        <v>0</v>
      </c>
      <c r="BL29" s="156">
        <f t="shared" si="40"/>
        <v>0</v>
      </c>
      <c r="BM29" s="156">
        <f t="shared" si="18"/>
        <v>0</v>
      </c>
      <c r="BN29" s="157">
        <f t="shared" si="41"/>
        <v>0</v>
      </c>
      <c r="BO29" s="156">
        <f t="shared" si="19"/>
        <v>0</v>
      </c>
      <c r="BP29" s="156">
        <f t="shared" si="20"/>
        <v>0</v>
      </c>
      <c r="BQ29" s="156">
        <f t="shared" si="21"/>
        <v>0</v>
      </c>
      <c r="BR29" s="156">
        <f t="shared" si="22"/>
        <v>0</v>
      </c>
      <c r="BS29" s="228">
        <f t="shared" si="42"/>
        <v>0</v>
      </c>
      <c r="BT29" s="156">
        <f t="shared" si="23"/>
        <v>0</v>
      </c>
      <c r="BU29" s="157">
        <f t="shared" si="43"/>
        <v>0</v>
      </c>
      <c r="BV29" s="157">
        <f t="shared" si="24"/>
        <v>0</v>
      </c>
      <c r="BW29" s="153"/>
      <c r="BX29" s="158">
        <f t="shared" si="25"/>
        <v>0</v>
      </c>
      <c r="BY29" s="286">
        <f t="shared" si="44"/>
        <v>0</v>
      </c>
      <c r="CA29"/>
    </row>
    <row r="30" spans="1:79" ht="15.75" customHeight="1">
      <c r="C30" s="2" t="s">
        <v>195</v>
      </c>
      <c r="D30" t="s">
        <v>8</v>
      </c>
      <c r="F30" s="290">
        <f>事業費用概算!G7</f>
        <v>3000</v>
      </c>
      <c r="M30" s="56" t="s">
        <v>43</v>
      </c>
      <c r="N30" s="19" t="s">
        <v>8</v>
      </c>
      <c r="O30" s="51">
        <f>O29*E32</f>
        <v>2850</v>
      </c>
      <c r="P30" s="51">
        <f>$P$29*F32</f>
        <v>2700</v>
      </c>
      <c r="V30" s="58">
        <f t="shared" si="26"/>
        <v>50495</v>
      </c>
      <c r="W30" s="26">
        <v>14</v>
      </c>
      <c r="X30" s="282" t="str">
        <f t="shared" si="27"/>
        <v>-</v>
      </c>
      <c r="Y30" s="161">
        <f t="shared" si="0"/>
        <v>0</v>
      </c>
      <c r="Z30" s="159">
        <f t="shared" si="1"/>
        <v>0</v>
      </c>
      <c r="AA30" s="159">
        <f t="shared" si="2"/>
        <v>0</v>
      </c>
      <c r="AB30" s="159">
        <f t="shared" si="3"/>
        <v>0</v>
      </c>
      <c r="AC30" s="160">
        <f t="shared" si="28"/>
        <v>0</v>
      </c>
      <c r="AD30" s="161">
        <f t="shared" si="4"/>
        <v>0</v>
      </c>
      <c r="AE30" s="159">
        <f t="shared" si="5"/>
        <v>0</v>
      </c>
      <c r="AF30" s="159">
        <f t="shared" si="6"/>
        <v>0</v>
      </c>
      <c r="AG30" s="159">
        <f>IF(AND(SUM($AA$16:AA29)&gt;0,SUM($AG$16:AG29)&lt;$O$62,$W30&gt;=$O$65),$O$64,0)</f>
        <v>64.125</v>
      </c>
      <c r="AH30" s="156">
        <f>IF(SUM($AA$17:$AA29)&gt;0,($O$62-SUM($AG$17:$AG29))*$F$65,0)</f>
        <v>12.504375</v>
      </c>
      <c r="AI30" s="160">
        <f t="shared" si="29"/>
        <v>0</v>
      </c>
      <c r="AJ30" s="156">
        <f t="shared" si="7"/>
        <v>0</v>
      </c>
      <c r="AK30" s="158">
        <f>(SUM($P$31,$P$51)-SUM($AU$17:AU29))*$O$109</f>
        <v>0</v>
      </c>
      <c r="AL30" s="163"/>
      <c r="AM30" s="157">
        <f t="shared" si="8"/>
        <v>0</v>
      </c>
      <c r="AN30" s="164"/>
      <c r="AO30" s="155">
        <f t="shared" si="9"/>
        <v>0</v>
      </c>
      <c r="AP30" s="156">
        <f t="shared" si="10"/>
        <v>0</v>
      </c>
      <c r="AQ30" s="156">
        <f t="shared" si="11"/>
        <v>0</v>
      </c>
      <c r="AR30" s="159">
        <f t="shared" si="12"/>
        <v>0</v>
      </c>
      <c r="AS30" s="160">
        <f t="shared" si="30"/>
        <v>0</v>
      </c>
      <c r="AT30" s="159">
        <f t="shared" si="13"/>
        <v>0</v>
      </c>
      <c r="AU30" s="159">
        <f t="shared" si="14"/>
        <v>0</v>
      </c>
      <c r="AV30" s="159">
        <f t="shared" si="15"/>
        <v>0</v>
      </c>
      <c r="AW30" s="159">
        <f t="shared" si="31"/>
        <v>0</v>
      </c>
      <c r="AX30" s="159">
        <f t="shared" si="32"/>
        <v>0</v>
      </c>
      <c r="AY30" s="159">
        <f t="shared" si="16"/>
        <v>0</v>
      </c>
      <c r="AZ30" s="159">
        <f>IF(AND(SUM($AQ$16:AQ29)&gt;0,SUM($AZ$16:AZ29)&lt;$P$62,$W30&gt;=$P$65),$P$64,0)</f>
        <v>60.75</v>
      </c>
      <c r="BA30" s="159">
        <f>IF(SUM($AQ$17:$AQ29)&gt;0,($P$62-SUM($AZ$17:$AZ29))*$F$65,0)</f>
        <v>11.84625</v>
      </c>
      <c r="BB30" s="160">
        <f t="shared" si="33"/>
        <v>0</v>
      </c>
      <c r="BC30" s="156">
        <f t="shared" si="34"/>
        <v>0</v>
      </c>
      <c r="BD30" s="157">
        <f t="shared" si="17"/>
        <v>0</v>
      </c>
      <c r="BE30" s="172"/>
      <c r="BF30" s="46">
        <f t="shared" si="35"/>
        <v>0.6219752022217141</v>
      </c>
      <c r="BH30" s="155">
        <f t="shared" si="36"/>
        <v>0</v>
      </c>
      <c r="BI30" s="155">
        <f t="shared" si="37"/>
        <v>0</v>
      </c>
      <c r="BJ30" s="156">
        <f t="shared" si="38"/>
        <v>0</v>
      </c>
      <c r="BK30" s="156">
        <f t="shared" si="39"/>
        <v>0</v>
      </c>
      <c r="BL30" s="156">
        <f t="shared" si="40"/>
        <v>0</v>
      </c>
      <c r="BM30" s="156">
        <f t="shared" si="18"/>
        <v>0</v>
      </c>
      <c r="BN30" s="157">
        <f t="shared" si="41"/>
        <v>0</v>
      </c>
      <c r="BO30" s="156">
        <f t="shared" si="19"/>
        <v>0</v>
      </c>
      <c r="BP30" s="156">
        <f t="shared" si="20"/>
        <v>0</v>
      </c>
      <c r="BQ30" s="156">
        <f t="shared" si="21"/>
        <v>0</v>
      </c>
      <c r="BR30" s="156">
        <f t="shared" si="22"/>
        <v>0</v>
      </c>
      <c r="BS30" s="228">
        <f t="shared" si="42"/>
        <v>0</v>
      </c>
      <c r="BT30" s="156">
        <f t="shared" si="23"/>
        <v>0</v>
      </c>
      <c r="BU30" s="157">
        <f t="shared" si="43"/>
        <v>0</v>
      </c>
      <c r="BV30" s="157">
        <f t="shared" si="24"/>
        <v>0</v>
      </c>
      <c r="BW30" s="153"/>
      <c r="BX30" s="158">
        <f t="shared" si="25"/>
        <v>0</v>
      </c>
      <c r="BY30" s="286">
        <f t="shared" si="44"/>
        <v>0</v>
      </c>
      <c r="CA30"/>
    </row>
    <row r="31" spans="1:79" ht="15.75" customHeight="1">
      <c r="C31" t="s">
        <v>121</v>
      </c>
      <c r="E31" s="19" t="s">
        <v>0</v>
      </c>
      <c r="F31" s="19" t="s">
        <v>1</v>
      </c>
      <c r="M31" s="56" t="s">
        <v>25</v>
      </c>
      <c r="N31" s="19" t="s">
        <v>8</v>
      </c>
      <c r="O31" s="51">
        <f>O30*E33</f>
        <v>0</v>
      </c>
      <c r="P31" s="51">
        <f>$P$29*F33</f>
        <v>0</v>
      </c>
      <c r="V31" s="58">
        <f t="shared" si="26"/>
        <v>50860</v>
      </c>
      <c r="W31" s="26">
        <v>15</v>
      </c>
      <c r="X31" s="282" t="str">
        <f t="shared" si="27"/>
        <v>-</v>
      </c>
      <c r="Y31" s="161">
        <f t="shared" si="0"/>
        <v>0</v>
      </c>
      <c r="Z31" s="159">
        <f t="shared" si="1"/>
        <v>0</v>
      </c>
      <c r="AA31" s="159">
        <f t="shared" si="2"/>
        <v>0</v>
      </c>
      <c r="AB31" s="159">
        <f t="shared" si="3"/>
        <v>0</v>
      </c>
      <c r="AC31" s="160">
        <f t="shared" si="28"/>
        <v>0</v>
      </c>
      <c r="AD31" s="161">
        <f t="shared" si="4"/>
        <v>0</v>
      </c>
      <c r="AE31" s="159">
        <f t="shared" si="5"/>
        <v>0</v>
      </c>
      <c r="AF31" s="159">
        <f t="shared" si="6"/>
        <v>0</v>
      </c>
      <c r="AG31" s="159">
        <f>IF(AND(SUM($AA$16:AA30)&gt;0,SUM($AG$16:AG30)&lt;$O$62,$W31&gt;=$O$65),$O$64,0)</f>
        <v>64.125</v>
      </c>
      <c r="AH31" s="156">
        <f>IF(SUM($AA$17:$AA30)&gt;0,($O$62-SUM($AG$17:$AG30))*$F$65,0)</f>
        <v>11.5425</v>
      </c>
      <c r="AI31" s="160">
        <f t="shared" si="29"/>
        <v>0</v>
      </c>
      <c r="AJ31" s="156">
        <f t="shared" si="7"/>
        <v>0</v>
      </c>
      <c r="AK31" s="158">
        <f>(SUM($P$31,$P$51)-SUM($AU$17:AU30))*$O$109</f>
        <v>0</v>
      </c>
      <c r="AL31" s="163"/>
      <c r="AM31" s="157">
        <f t="shared" si="8"/>
        <v>0</v>
      </c>
      <c r="AN31" s="164"/>
      <c r="AO31" s="155">
        <f t="shared" si="9"/>
        <v>0</v>
      </c>
      <c r="AP31" s="156">
        <f t="shared" si="10"/>
        <v>0</v>
      </c>
      <c r="AQ31" s="156">
        <f t="shared" si="11"/>
        <v>0</v>
      </c>
      <c r="AR31" s="159">
        <f t="shared" si="12"/>
        <v>0</v>
      </c>
      <c r="AS31" s="160">
        <f t="shared" si="30"/>
        <v>0</v>
      </c>
      <c r="AT31" s="159">
        <f t="shared" si="13"/>
        <v>0</v>
      </c>
      <c r="AU31" s="159">
        <f t="shared" si="14"/>
        <v>0</v>
      </c>
      <c r="AV31" s="159">
        <f t="shared" si="15"/>
        <v>0</v>
      </c>
      <c r="AW31" s="159">
        <f t="shared" si="31"/>
        <v>0</v>
      </c>
      <c r="AX31" s="159">
        <f t="shared" si="32"/>
        <v>0</v>
      </c>
      <c r="AY31" s="159">
        <f t="shared" si="16"/>
        <v>0</v>
      </c>
      <c r="AZ31" s="159">
        <f>IF(AND(SUM($AQ$16:AQ30)&gt;0,SUM($AZ$16:AZ30)&lt;$P$62,$W31&gt;=$P$65),$P$64,0)</f>
        <v>60.75</v>
      </c>
      <c r="BA31" s="159">
        <f>IF(SUM($AQ$17:$AQ30)&gt;0,($P$62-SUM($AZ$17:$AZ30))*$F$65,0)</f>
        <v>10.934999999999999</v>
      </c>
      <c r="BB31" s="160">
        <f t="shared" si="33"/>
        <v>0</v>
      </c>
      <c r="BC31" s="156">
        <f t="shared" si="34"/>
        <v>0</v>
      </c>
      <c r="BD31" s="157">
        <f t="shared" si="17"/>
        <v>0</v>
      </c>
      <c r="BE31" s="172"/>
      <c r="BF31" s="46">
        <f t="shared" si="35"/>
        <v>0.60123267493640808</v>
      </c>
      <c r="BH31" s="155">
        <f t="shared" si="36"/>
        <v>0</v>
      </c>
      <c r="BI31" s="155">
        <f t="shared" si="37"/>
        <v>0</v>
      </c>
      <c r="BJ31" s="156">
        <f t="shared" si="38"/>
        <v>0</v>
      </c>
      <c r="BK31" s="156">
        <f t="shared" si="39"/>
        <v>0</v>
      </c>
      <c r="BL31" s="156">
        <f t="shared" si="40"/>
        <v>0</v>
      </c>
      <c r="BM31" s="156">
        <f t="shared" si="18"/>
        <v>0</v>
      </c>
      <c r="BN31" s="157">
        <f t="shared" si="41"/>
        <v>0</v>
      </c>
      <c r="BO31" s="156">
        <f t="shared" si="19"/>
        <v>0</v>
      </c>
      <c r="BP31" s="156">
        <f t="shared" si="20"/>
        <v>0</v>
      </c>
      <c r="BQ31" s="156">
        <f t="shared" si="21"/>
        <v>0</v>
      </c>
      <c r="BR31" s="156">
        <f t="shared" si="22"/>
        <v>0</v>
      </c>
      <c r="BS31" s="228">
        <f t="shared" si="42"/>
        <v>0</v>
      </c>
      <c r="BT31" s="156">
        <f t="shared" si="23"/>
        <v>0</v>
      </c>
      <c r="BU31" s="157">
        <f t="shared" si="43"/>
        <v>0</v>
      </c>
      <c r="BV31" s="157">
        <f t="shared" si="24"/>
        <v>0</v>
      </c>
      <c r="BW31" s="153"/>
      <c r="BX31" s="158">
        <f t="shared" si="25"/>
        <v>0</v>
      </c>
      <c r="BY31" s="286">
        <f t="shared" si="44"/>
        <v>0</v>
      </c>
      <c r="CA31"/>
    </row>
    <row r="32" spans="1:79" ht="15.75" customHeight="1">
      <c r="C32" s="2" t="s">
        <v>43</v>
      </c>
      <c r="D32" t="s">
        <v>6</v>
      </c>
      <c r="E32" s="268">
        <v>1</v>
      </c>
      <c r="F32" s="138">
        <v>1</v>
      </c>
      <c r="H32" s="72" t="s">
        <v>204</v>
      </c>
      <c r="M32" s="56" t="s">
        <v>57</v>
      </c>
      <c r="N32" s="19" t="s">
        <v>8</v>
      </c>
      <c r="O32" s="51">
        <f>SUM(O30:O31)</f>
        <v>2850</v>
      </c>
      <c r="P32" s="51">
        <f>SUM(P30:P31)</f>
        <v>2700</v>
      </c>
      <c r="V32" s="58">
        <f t="shared" si="26"/>
        <v>51226</v>
      </c>
      <c r="W32" s="26">
        <v>16</v>
      </c>
      <c r="X32" s="282" t="str">
        <f t="shared" si="27"/>
        <v>-</v>
      </c>
      <c r="Y32" s="161">
        <f t="shared" si="0"/>
        <v>0</v>
      </c>
      <c r="Z32" s="159">
        <f t="shared" si="1"/>
        <v>0</v>
      </c>
      <c r="AA32" s="159">
        <f t="shared" si="2"/>
        <v>0</v>
      </c>
      <c r="AB32" s="159">
        <f t="shared" si="3"/>
        <v>0</v>
      </c>
      <c r="AC32" s="160">
        <f t="shared" si="28"/>
        <v>0</v>
      </c>
      <c r="AD32" s="161">
        <f t="shared" si="4"/>
        <v>0</v>
      </c>
      <c r="AE32" s="159">
        <f t="shared" si="5"/>
        <v>0</v>
      </c>
      <c r="AF32" s="159">
        <f t="shared" si="6"/>
        <v>0</v>
      </c>
      <c r="AG32" s="159">
        <f>IF(AND(SUM($AA$16:AA31)&gt;0,SUM($AG$16:AG31)&lt;$O$62,$W32&gt;=$O$65),$O$64,0)</f>
        <v>64.125</v>
      </c>
      <c r="AH32" s="156">
        <f>IF(SUM($AA$17:$AA31)&gt;0,($O$62-SUM($AG$17:$AG31))*$F$65,0)</f>
        <v>10.580625</v>
      </c>
      <c r="AI32" s="160">
        <f t="shared" si="29"/>
        <v>0</v>
      </c>
      <c r="AJ32" s="156">
        <f t="shared" si="7"/>
        <v>0</v>
      </c>
      <c r="AK32" s="158">
        <f>(SUM($P$31,$P$51)-SUM($AU$17:AU31))*$O$109</f>
        <v>0</v>
      </c>
      <c r="AL32" s="163"/>
      <c r="AM32" s="157">
        <f t="shared" si="8"/>
        <v>0</v>
      </c>
      <c r="AN32" s="164"/>
      <c r="AO32" s="155">
        <f t="shared" si="9"/>
        <v>0</v>
      </c>
      <c r="AP32" s="156">
        <f t="shared" si="10"/>
        <v>0</v>
      </c>
      <c r="AQ32" s="156">
        <f t="shared" si="11"/>
        <v>0</v>
      </c>
      <c r="AR32" s="159">
        <f t="shared" si="12"/>
        <v>0</v>
      </c>
      <c r="AS32" s="160">
        <f t="shared" si="30"/>
        <v>0</v>
      </c>
      <c r="AT32" s="159">
        <f t="shared" si="13"/>
        <v>0</v>
      </c>
      <c r="AU32" s="159">
        <f t="shared" si="14"/>
        <v>0</v>
      </c>
      <c r="AV32" s="159">
        <f t="shared" si="15"/>
        <v>0</v>
      </c>
      <c r="AW32" s="159">
        <f t="shared" si="31"/>
        <v>0</v>
      </c>
      <c r="AX32" s="159">
        <f t="shared" si="32"/>
        <v>0</v>
      </c>
      <c r="AY32" s="159">
        <f t="shared" si="16"/>
        <v>0</v>
      </c>
      <c r="AZ32" s="159">
        <f>IF(AND(SUM($AQ$16:AQ31)&gt;0,SUM($AZ$16:AZ31)&lt;$P$62,$W32&gt;=$P$65),$P$64,0)</f>
        <v>60.75</v>
      </c>
      <c r="BA32" s="159">
        <f>IF(SUM($AQ$17:$AQ31)&gt;0,($P$62-SUM($AZ$17:$AZ31))*$F$65,0)</f>
        <v>10.02375</v>
      </c>
      <c r="BB32" s="160">
        <f t="shared" si="33"/>
        <v>0</v>
      </c>
      <c r="BC32" s="156">
        <f t="shared" si="34"/>
        <v>0</v>
      </c>
      <c r="BD32" s="157">
        <f t="shared" si="17"/>
        <v>0</v>
      </c>
      <c r="BE32" s="172"/>
      <c r="BF32" s="46">
        <f t="shared" si="35"/>
        <v>0.58118189940687104</v>
      </c>
      <c r="BH32" s="155">
        <f t="shared" si="36"/>
        <v>0</v>
      </c>
      <c r="BI32" s="155">
        <f t="shared" si="37"/>
        <v>0</v>
      </c>
      <c r="BJ32" s="156">
        <f t="shared" si="38"/>
        <v>0</v>
      </c>
      <c r="BK32" s="156">
        <f t="shared" si="39"/>
        <v>0</v>
      </c>
      <c r="BL32" s="156">
        <f t="shared" si="40"/>
        <v>0</v>
      </c>
      <c r="BM32" s="156">
        <f t="shared" si="18"/>
        <v>0</v>
      </c>
      <c r="BN32" s="157">
        <f t="shared" si="41"/>
        <v>0</v>
      </c>
      <c r="BO32" s="156">
        <f t="shared" si="19"/>
        <v>0</v>
      </c>
      <c r="BP32" s="156">
        <f t="shared" si="20"/>
        <v>0</v>
      </c>
      <c r="BQ32" s="156">
        <f t="shared" si="21"/>
        <v>0</v>
      </c>
      <c r="BR32" s="156">
        <f t="shared" si="22"/>
        <v>0</v>
      </c>
      <c r="BS32" s="228">
        <f t="shared" si="42"/>
        <v>0</v>
      </c>
      <c r="BT32" s="156">
        <f t="shared" si="23"/>
        <v>0</v>
      </c>
      <c r="BU32" s="157">
        <f t="shared" si="43"/>
        <v>0</v>
      </c>
      <c r="BV32" s="157">
        <f t="shared" si="24"/>
        <v>0</v>
      </c>
      <c r="BW32" s="153"/>
      <c r="BX32" s="158">
        <f t="shared" si="25"/>
        <v>0</v>
      </c>
      <c r="BY32" s="286">
        <f t="shared" si="44"/>
        <v>0</v>
      </c>
      <c r="CA32"/>
    </row>
    <row r="33" spans="2:79" ht="15.75" customHeight="1">
      <c r="C33" s="2" t="s">
        <v>25</v>
      </c>
      <c r="D33" t="s">
        <v>6</v>
      </c>
      <c r="E33" s="139"/>
      <c r="F33" s="139"/>
      <c r="V33" s="58">
        <f t="shared" si="26"/>
        <v>51591</v>
      </c>
      <c r="W33" s="26">
        <v>17</v>
      </c>
      <c r="X33" s="282" t="str">
        <f t="shared" si="27"/>
        <v>-</v>
      </c>
      <c r="Y33" s="161">
        <f t="shared" si="0"/>
        <v>0</v>
      </c>
      <c r="Z33" s="159">
        <f t="shared" si="1"/>
        <v>0</v>
      </c>
      <c r="AA33" s="159">
        <f t="shared" si="2"/>
        <v>0</v>
      </c>
      <c r="AB33" s="159">
        <f t="shared" si="3"/>
        <v>0</v>
      </c>
      <c r="AC33" s="160">
        <f t="shared" si="28"/>
        <v>0</v>
      </c>
      <c r="AD33" s="161">
        <f t="shared" si="4"/>
        <v>0</v>
      </c>
      <c r="AE33" s="159">
        <f t="shared" si="5"/>
        <v>0</v>
      </c>
      <c r="AF33" s="159">
        <f t="shared" si="6"/>
        <v>0</v>
      </c>
      <c r="AG33" s="159">
        <f>IF(AND(SUM($AA$16:AA32)&gt;0,SUM($AG$16:AG32)&lt;$O$62,$W33&gt;=$O$65),$O$64,0)</f>
        <v>64.125</v>
      </c>
      <c r="AH33" s="156">
        <f>IF(SUM($AA$17:$AA32)&gt;0,($O$62-SUM($AG$17:$AG32))*$F$65,0)</f>
        <v>9.6187500000000004</v>
      </c>
      <c r="AI33" s="160">
        <f t="shared" si="29"/>
        <v>0</v>
      </c>
      <c r="AJ33" s="156">
        <f t="shared" si="7"/>
        <v>0</v>
      </c>
      <c r="AK33" s="158">
        <f>(SUM($P$31,$P$51)-SUM($AU$17:AU32))*$O$109</f>
        <v>0</v>
      </c>
      <c r="AL33" s="163"/>
      <c r="AM33" s="157">
        <f t="shared" si="8"/>
        <v>0</v>
      </c>
      <c r="AN33" s="164"/>
      <c r="AO33" s="155">
        <f t="shared" si="9"/>
        <v>0</v>
      </c>
      <c r="AP33" s="156">
        <f t="shared" si="10"/>
        <v>0</v>
      </c>
      <c r="AQ33" s="156">
        <f t="shared" si="11"/>
        <v>0</v>
      </c>
      <c r="AR33" s="159">
        <f t="shared" si="12"/>
        <v>0</v>
      </c>
      <c r="AS33" s="160">
        <f t="shared" si="30"/>
        <v>0</v>
      </c>
      <c r="AT33" s="159">
        <f t="shared" si="13"/>
        <v>0</v>
      </c>
      <c r="AU33" s="159">
        <f t="shared" si="14"/>
        <v>0</v>
      </c>
      <c r="AV33" s="159">
        <f t="shared" si="15"/>
        <v>0</v>
      </c>
      <c r="AW33" s="159">
        <f t="shared" si="31"/>
        <v>0</v>
      </c>
      <c r="AX33" s="159">
        <f t="shared" si="32"/>
        <v>0</v>
      </c>
      <c r="AY33" s="159">
        <f t="shared" si="16"/>
        <v>0</v>
      </c>
      <c r="AZ33" s="159">
        <f>IF(AND(SUM($AQ$16:AQ32)&gt;0,SUM($AZ$16:AZ32)&lt;$P$62,$W33&gt;=$P$65),$P$64,0)</f>
        <v>60.75</v>
      </c>
      <c r="BA33" s="159">
        <f>IF(SUM($AQ$17:$AQ32)&gt;0,($P$62-SUM($AZ$17:$AZ32))*$F$65,0)</f>
        <v>9.1124999999999989</v>
      </c>
      <c r="BB33" s="160">
        <f t="shared" si="33"/>
        <v>0</v>
      </c>
      <c r="BC33" s="156">
        <f t="shared" si="34"/>
        <v>0</v>
      </c>
      <c r="BD33" s="157">
        <f t="shared" si="17"/>
        <v>0</v>
      </c>
      <c r="BE33" s="172"/>
      <c r="BF33" s="46">
        <f t="shared" si="35"/>
        <v>0.56179980609654045</v>
      </c>
      <c r="BH33" s="155">
        <f t="shared" si="36"/>
        <v>0</v>
      </c>
      <c r="BI33" s="155">
        <f t="shared" si="37"/>
        <v>0</v>
      </c>
      <c r="BJ33" s="156">
        <f t="shared" si="38"/>
        <v>0</v>
      </c>
      <c r="BK33" s="156">
        <f t="shared" si="39"/>
        <v>0</v>
      </c>
      <c r="BL33" s="156">
        <f t="shared" si="40"/>
        <v>0</v>
      </c>
      <c r="BM33" s="156">
        <f t="shared" si="18"/>
        <v>0</v>
      </c>
      <c r="BN33" s="157">
        <f t="shared" si="41"/>
        <v>0</v>
      </c>
      <c r="BO33" s="156">
        <f t="shared" si="19"/>
        <v>0</v>
      </c>
      <c r="BP33" s="156">
        <f t="shared" si="20"/>
        <v>0</v>
      </c>
      <c r="BQ33" s="156">
        <f t="shared" si="21"/>
        <v>0</v>
      </c>
      <c r="BR33" s="156">
        <f t="shared" si="22"/>
        <v>0</v>
      </c>
      <c r="BS33" s="228">
        <f t="shared" si="42"/>
        <v>0</v>
      </c>
      <c r="BT33" s="156">
        <f t="shared" si="23"/>
        <v>0</v>
      </c>
      <c r="BU33" s="157">
        <f t="shared" si="43"/>
        <v>0</v>
      </c>
      <c r="BV33" s="157">
        <f t="shared" si="24"/>
        <v>0</v>
      </c>
      <c r="BW33" s="153"/>
      <c r="BX33" s="158">
        <f t="shared" si="25"/>
        <v>0</v>
      </c>
      <c r="BY33" s="286">
        <f t="shared" si="44"/>
        <v>0</v>
      </c>
      <c r="CA33"/>
    </row>
    <row r="34" spans="2:79" ht="15.75" customHeight="1">
      <c r="E34" s="13">
        <f>SUM(E32:E33)</f>
        <v>1</v>
      </c>
      <c r="F34" s="13">
        <f>SUM(F32:F33)</f>
        <v>1</v>
      </c>
      <c r="V34" s="58">
        <f t="shared" si="26"/>
        <v>51956</v>
      </c>
      <c r="W34" s="26">
        <v>18</v>
      </c>
      <c r="X34" s="282" t="str">
        <f t="shared" si="27"/>
        <v>-</v>
      </c>
      <c r="Y34" s="161">
        <f t="shared" si="0"/>
        <v>0</v>
      </c>
      <c r="Z34" s="159">
        <f t="shared" si="1"/>
        <v>0</v>
      </c>
      <c r="AA34" s="159">
        <f t="shared" si="2"/>
        <v>0</v>
      </c>
      <c r="AB34" s="159">
        <f t="shared" si="3"/>
        <v>0</v>
      </c>
      <c r="AC34" s="160">
        <f t="shared" si="28"/>
        <v>0</v>
      </c>
      <c r="AD34" s="161">
        <f t="shared" si="4"/>
        <v>0</v>
      </c>
      <c r="AE34" s="159">
        <f t="shared" si="5"/>
        <v>0</v>
      </c>
      <c r="AF34" s="159">
        <f t="shared" si="6"/>
        <v>0</v>
      </c>
      <c r="AG34" s="159">
        <f>IF(AND(SUM($AA$16:AA33)&gt;0,SUM($AG$16:AG33)&lt;$O$62,$W34&gt;=$O$65),$O$64,0)</f>
        <v>64.125</v>
      </c>
      <c r="AH34" s="156">
        <f>IF(SUM($AA$17:$AA33)&gt;0,($O$62-SUM($AG$17:$AG33))*$F$65,0)</f>
        <v>8.6568749999999994</v>
      </c>
      <c r="AI34" s="160">
        <f t="shared" si="29"/>
        <v>0</v>
      </c>
      <c r="AJ34" s="156">
        <f t="shared" si="7"/>
        <v>0</v>
      </c>
      <c r="AK34" s="158">
        <f>(SUM($P$31,$P$51)-SUM($AU$17:AU33))*$O$109</f>
        <v>0</v>
      </c>
      <c r="AL34" s="163"/>
      <c r="AM34" s="157">
        <f t="shared" si="8"/>
        <v>0</v>
      </c>
      <c r="AN34" s="164"/>
      <c r="AO34" s="155">
        <f t="shared" si="9"/>
        <v>0</v>
      </c>
      <c r="AP34" s="156">
        <f t="shared" si="10"/>
        <v>0</v>
      </c>
      <c r="AQ34" s="156">
        <f t="shared" si="11"/>
        <v>0</v>
      </c>
      <c r="AR34" s="159">
        <f t="shared" si="12"/>
        <v>0</v>
      </c>
      <c r="AS34" s="160">
        <f t="shared" si="30"/>
        <v>0</v>
      </c>
      <c r="AT34" s="159">
        <f t="shared" si="13"/>
        <v>0</v>
      </c>
      <c r="AU34" s="159">
        <f t="shared" si="14"/>
        <v>0</v>
      </c>
      <c r="AV34" s="159">
        <f t="shared" si="15"/>
        <v>0</v>
      </c>
      <c r="AW34" s="159">
        <f t="shared" si="31"/>
        <v>0</v>
      </c>
      <c r="AX34" s="159">
        <f t="shared" si="32"/>
        <v>0</v>
      </c>
      <c r="AY34" s="159">
        <f t="shared" si="16"/>
        <v>0</v>
      </c>
      <c r="AZ34" s="159">
        <f>IF(AND(SUM($AQ$16:AQ33)&gt;0,SUM($AZ$16:AZ33)&lt;$P$62,$W34&gt;=$P$65),$P$64,0)</f>
        <v>60.75</v>
      </c>
      <c r="BA34" s="159">
        <f>IF(SUM($AQ$17:$AQ33)&gt;0,($P$62-SUM($AZ$17:$AZ33))*$F$65,0)</f>
        <v>8.2012499999999999</v>
      </c>
      <c r="BB34" s="160">
        <f t="shared" si="33"/>
        <v>0</v>
      </c>
      <c r="BC34" s="156">
        <f t="shared" si="34"/>
        <v>0</v>
      </c>
      <c r="BD34" s="157">
        <f t="shared" si="17"/>
        <v>0</v>
      </c>
      <c r="BE34" s="172"/>
      <c r="BF34" s="46">
        <f t="shared" si="35"/>
        <v>0.54306409482507534</v>
      </c>
      <c r="BH34" s="155">
        <f t="shared" si="36"/>
        <v>0</v>
      </c>
      <c r="BI34" s="155">
        <f t="shared" si="37"/>
        <v>0</v>
      </c>
      <c r="BJ34" s="156">
        <f t="shared" si="38"/>
        <v>0</v>
      </c>
      <c r="BK34" s="156">
        <f t="shared" si="39"/>
        <v>0</v>
      </c>
      <c r="BL34" s="156">
        <f t="shared" si="40"/>
        <v>0</v>
      </c>
      <c r="BM34" s="156">
        <f t="shared" si="18"/>
        <v>0</v>
      </c>
      <c r="BN34" s="157">
        <f t="shared" si="41"/>
        <v>0</v>
      </c>
      <c r="BO34" s="156">
        <f t="shared" si="19"/>
        <v>0</v>
      </c>
      <c r="BP34" s="156">
        <f t="shared" si="20"/>
        <v>0</v>
      </c>
      <c r="BQ34" s="156">
        <f t="shared" si="21"/>
        <v>0</v>
      </c>
      <c r="BR34" s="156">
        <f t="shared" si="22"/>
        <v>0</v>
      </c>
      <c r="BS34" s="228">
        <f t="shared" si="42"/>
        <v>0</v>
      </c>
      <c r="BT34" s="156">
        <f t="shared" si="23"/>
        <v>0</v>
      </c>
      <c r="BU34" s="157">
        <f t="shared" si="43"/>
        <v>0</v>
      </c>
      <c r="BV34" s="157">
        <f t="shared" si="24"/>
        <v>0</v>
      </c>
      <c r="BW34" s="153"/>
      <c r="BX34" s="158">
        <f t="shared" si="25"/>
        <v>0</v>
      </c>
      <c r="BY34" s="286">
        <f t="shared" si="44"/>
        <v>0</v>
      </c>
      <c r="CA34"/>
    </row>
    <row r="35" spans="2:79" ht="15.75" customHeight="1">
      <c r="B35" s="56" t="s">
        <v>182</v>
      </c>
      <c r="C35" s="2" t="s">
        <v>10</v>
      </c>
      <c r="D35" t="s">
        <v>6</v>
      </c>
      <c r="F35" s="15">
        <v>0</v>
      </c>
      <c r="H35" s="150" t="s">
        <v>205</v>
      </c>
      <c r="J35" s="102" t="s">
        <v>193</v>
      </c>
      <c r="P35" t="s">
        <v>1</v>
      </c>
      <c r="V35" s="58">
        <f t="shared" si="26"/>
        <v>52321</v>
      </c>
      <c r="W35" s="26">
        <v>19</v>
      </c>
      <c r="X35" s="282" t="str">
        <f t="shared" si="27"/>
        <v>-</v>
      </c>
      <c r="Y35" s="161">
        <f t="shared" si="0"/>
        <v>0</v>
      </c>
      <c r="Z35" s="159">
        <f t="shared" si="1"/>
        <v>0</v>
      </c>
      <c r="AA35" s="159">
        <f t="shared" si="2"/>
        <v>0</v>
      </c>
      <c r="AB35" s="159">
        <f t="shared" si="3"/>
        <v>0</v>
      </c>
      <c r="AC35" s="160">
        <f t="shared" si="28"/>
        <v>0</v>
      </c>
      <c r="AD35" s="161">
        <f t="shared" si="4"/>
        <v>0</v>
      </c>
      <c r="AE35" s="159">
        <f t="shared" si="5"/>
        <v>0</v>
      </c>
      <c r="AF35" s="159">
        <f t="shared" si="6"/>
        <v>0</v>
      </c>
      <c r="AG35" s="159">
        <f>IF(AND(SUM($AA$16:AA34)&gt;0,SUM($AG$16:AG34)&lt;$O$62,$W35&gt;=$O$65),$O$64,0)</f>
        <v>64.125</v>
      </c>
      <c r="AH35" s="156">
        <f>IF(SUM($AA$17:$AA34)&gt;0,($O$62-SUM($AG$17:$AG34))*$F$65,0)</f>
        <v>7.6949999999999994</v>
      </c>
      <c r="AI35" s="160">
        <f t="shared" si="29"/>
        <v>0</v>
      </c>
      <c r="AJ35" s="156">
        <f t="shared" si="7"/>
        <v>0</v>
      </c>
      <c r="AK35" s="158">
        <f>(SUM($P$31,$P$51)-SUM($AU$17:AU34))*$O$109</f>
        <v>0</v>
      </c>
      <c r="AL35" s="163"/>
      <c r="AM35" s="157">
        <f t="shared" si="8"/>
        <v>0</v>
      </c>
      <c r="AN35" s="164"/>
      <c r="AO35" s="155">
        <f t="shared" si="9"/>
        <v>0</v>
      </c>
      <c r="AP35" s="156">
        <f t="shared" si="10"/>
        <v>0</v>
      </c>
      <c r="AQ35" s="156">
        <f t="shared" si="11"/>
        <v>0</v>
      </c>
      <c r="AR35" s="159">
        <f t="shared" si="12"/>
        <v>0</v>
      </c>
      <c r="AS35" s="160">
        <f t="shared" si="30"/>
        <v>0</v>
      </c>
      <c r="AT35" s="159">
        <f t="shared" si="13"/>
        <v>0</v>
      </c>
      <c r="AU35" s="159">
        <f t="shared" si="14"/>
        <v>0</v>
      </c>
      <c r="AV35" s="159">
        <f t="shared" si="15"/>
        <v>0</v>
      </c>
      <c r="AW35" s="159">
        <f t="shared" si="31"/>
        <v>0</v>
      </c>
      <c r="AX35" s="159">
        <f t="shared" si="32"/>
        <v>0</v>
      </c>
      <c r="AY35" s="159">
        <f t="shared" si="16"/>
        <v>0</v>
      </c>
      <c r="AZ35" s="159">
        <f>IF(AND(SUM($AQ$16:AQ34)&gt;0,SUM($AZ$16:AZ34)&lt;$P$62,$W35&gt;=$P$65),$P$64,0)</f>
        <v>60.75</v>
      </c>
      <c r="BA35" s="159">
        <f>IF(SUM($AQ$17:$AQ34)&gt;0,($P$62-SUM($AZ$17:$AZ34))*$F$65,0)</f>
        <v>7.29</v>
      </c>
      <c r="BB35" s="160">
        <f t="shared" si="33"/>
        <v>0</v>
      </c>
      <c r="BC35" s="156">
        <f t="shared" si="34"/>
        <v>0</v>
      </c>
      <c r="BD35" s="157">
        <f t="shared" si="17"/>
        <v>0</v>
      </c>
      <c r="BE35" s="172"/>
      <c r="BF35" s="46">
        <f t="shared" si="35"/>
        <v>0.52495320911075438</v>
      </c>
      <c r="BH35" s="155">
        <f t="shared" si="36"/>
        <v>0</v>
      </c>
      <c r="BI35" s="155">
        <f t="shared" si="37"/>
        <v>0</v>
      </c>
      <c r="BJ35" s="156">
        <f t="shared" si="38"/>
        <v>0</v>
      </c>
      <c r="BK35" s="156">
        <f t="shared" si="39"/>
        <v>0</v>
      </c>
      <c r="BL35" s="156">
        <f t="shared" si="40"/>
        <v>0</v>
      </c>
      <c r="BM35" s="156">
        <f t="shared" si="18"/>
        <v>0</v>
      </c>
      <c r="BN35" s="157">
        <f t="shared" si="41"/>
        <v>0</v>
      </c>
      <c r="BO35" s="156">
        <f t="shared" si="19"/>
        <v>0</v>
      </c>
      <c r="BP35" s="156">
        <f t="shared" si="20"/>
        <v>0</v>
      </c>
      <c r="BQ35" s="156">
        <f t="shared" si="21"/>
        <v>0</v>
      </c>
      <c r="BR35" s="156">
        <f t="shared" si="22"/>
        <v>0</v>
      </c>
      <c r="BS35" s="228">
        <f t="shared" si="42"/>
        <v>0</v>
      </c>
      <c r="BT35" s="156">
        <f t="shared" si="23"/>
        <v>0</v>
      </c>
      <c r="BU35" s="157">
        <f t="shared" si="43"/>
        <v>0</v>
      </c>
      <c r="BV35" s="157">
        <f t="shared" si="24"/>
        <v>0</v>
      </c>
      <c r="BW35" s="153"/>
      <c r="BX35" s="158">
        <f t="shared" si="25"/>
        <v>0</v>
      </c>
      <c r="BY35" s="286">
        <f t="shared" si="44"/>
        <v>0</v>
      </c>
      <c r="CA35"/>
    </row>
    <row r="36" spans="2:79" ht="15.75" customHeight="1">
      <c r="C36" s="2" t="s">
        <v>181</v>
      </c>
      <c r="D36" t="s">
        <v>6</v>
      </c>
      <c r="F36" s="140">
        <f>F70</f>
        <v>0</v>
      </c>
      <c r="H36" s="150" t="s">
        <v>205</v>
      </c>
      <c r="J36" s="4"/>
      <c r="K36" s="56" t="s">
        <v>58</v>
      </c>
      <c r="N36" s="19" t="s">
        <v>6</v>
      </c>
      <c r="O36" s="53"/>
      <c r="P36" s="36">
        <f>SUM(F35:F37)</f>
        <v>0</v>
      </c>
      <c r="V36" s="58">
        <f t="shared" si="26"/>
        <v>52687</v>
      </c>
      <c r="W36" s="26">
        <v>20</v>
      </c>
      <c r="X36" s="282" t="str">
        <f t="shared" si="27"/>
        <v>-</v>
      </c>
      <c r="Y36" s="161">
        <f t="shared" si="0"/>
        <v>0</v>
      </c>
      <c r="Z36" s="159">
        <f t="shared" si="1"/>
        <v>0</v>
      </c>
      <c r="AA36" s="159">
        <f t="shared" si="2"/>
        <v>0</v>
      </c>
      <c r="AB36" s="159">
        <f t="shared" si="3"/>
        <v>0</v>
      </c>
      <c r="AC36" s="160">
        <f t="shared" si="28"/>
        <v>0</v>
      </c>
      <c r="AD36" s="161">
        <f t="shared" si="4"/>
        <v>0</v>
      </c>
      <c r="AE36" s="159">
        <f t="shared" si="5"/>
        <v>0</v>
      </c>
      <c r="AF36" s="159">
        <f t="shared" si="6"/>
        <v>0</v>
      </c>
      <c r="AG36" s="159">
        <f>IF(AND(SUM($AA$16:AA35)&gt;0,SUM($AG$16:AG35)&lt;$O$62,$W36&gt;=$O$65),$O$64,0)</f>
        <v>64.125</v>
      </c>
      <c r="AH36" s="156">
        <f>IF(SUM($AA$17:$AA35)&gt;0,($O$62-SUM($AG$17:$AG35))*$F$65,0)</f>
        <v>6.7331249999999994</v>
      </c>
      <c r="AI36" s="160">
        <f t="shared" si="29"/>
        <v>0</v>
      </c>
      <c r="AJ36" s="156">
        <f t="shared" si="7"/>
        <v>0</v>
      </c>
      <c r="AK36" s="158">
        <f>(SUM($P$31,$P$51)-SUM($AU$17:AU35))*$O$109</f>
        <v>0</v>
      </c>
      <c r="AL36" s="163"/>
      <c r="AM36" s="157">
        <f t="shared" si="8"/>
        <v>0</v>
      </c>
      <c r="AN36" s="164"/>
      <c r="AO36" s="155">
        <f t="shared" si="9"/>
        <v>0</v>
      </c>
      <c r="AP36" s="156">
        <f t="shared" si="10"/>
        <v>0</v>
      </c>
      <c r="AQ36" s="156">
        <f t="shared" si="11"/>
        <v>0</v>
      </c>
      <c r="AR36" s="159">
        <f t="shared" si="12"/>
        <v>0</v>
      </c>
      <c r="AS36" s="160">
        <f t="shared" si="30"/>
        <v>0</v>
      </c>
      <c r="AT36" s="159">
        <f t="shared" si="13"/>
        <v>0</v>
      </c>
      <c r="AU36" s="159">
        <f t="shared" si="14"/>
        <v>0</v>
      </c>
      <c r="AV36" s="159">
        <f t="shared" si="15"/>
        <v>0</v>
      </c>
      <c r="AW36" s="159">
        <f t="shared" si="31"/>
        <v>0</v>
      </c>
      <c r="AX36" s="159">
        <f t="shared" si="32"/>
        <v>0</v>
      </c>
      <c r="AY36" s="159">
        <f t="shared" si="16"/>
        <v>0</v>
      </c>
      <c r="AZ36" s="159">
        <f>IF(AND(SUM($AQ$16:AQ35)&gt;0,SUM($AZ$16:AZ35)&lt;$P$62,$W36&gt;=$P$65),$P$64,0)</f>
        <v>60.75</v>
      </c>
      <c r="BA36" s="159">
        <f>IF(SUM($AQ$17:$AQ35)&gt;0,($P$62-SUM($AZ$17:$AZ35))*$F$65,0)</f>
        <v>6.3787500000000001</v>
      </c>
      <c r="BB36" s="160">
        <f t="shared" si="33"/>
        <v>0</v>
      </c>
      <c r="BC36" s="156">
        <f t="shared" si="34"/>
        <v>0</v>
      </c>
      <c r="BD36" s="157">
        <f t="shared" si="17"/>
        <v>0</v>
      </c>
      <c r="BE36" s="172"/>
      <c r="BF36" s="46">
        <f t="shared" si="35"/>
        <v>0.50744631136853979</v>
      </c>
      <c r="BH36" s="155">
        <f t="shared" si="36"/>
        <v>0</v>
      </c>
      <c r="BI36" s="155">
        <f t="shared" si="37"/>
        <v>0</v>
      </c>
      <c r="BJ36" s="156">
        <f t="shared" si="38"/>
        <v>0</v>
      </c>
      <c r="BK36" s="156">
        <f t="shared" si="39"/>
        <v>0</v>
      </c>
      <c r="BL36" s="156">
        <f t="shared" si="40"/>
        <v>0</v>
      </c>
      <c r="BM36" s="156">
        <f t="shared" si="18"/>
        <v>0</v>
      </c>
      <c r="BN36" s="157">
        <f t="shared" si="41"/>
        <v>0</v>
      </c>
      <c r="BO36" s="156">
        <f t="shared" si="19"/>
        <v>0</v>
      </c>
      <c r="BP36" s="156">
        <f t="shared" si="20"/>
        <v>0</v>
      </c>
      <c r="BQ36" s="156">
        <f t="shared" si="21"/>
        <v>0</v>
      </c>
      <c r="BR36" s="156">
        <f t="shared" si="22"/>
        <v>0</v>
      </c>
      <c r="BS36" s="228">
        <f t="shared" si="42"/>
        <v>0</v>
      </c>
      <c r="BT36" s="156">
        <f t="shared" si="23"/>
        <v>0</v>
      </c>
      <c r="BU36" s="157">
        <f t="shared" si="43"/>
        <v>0</v>
      </c>
      <c r="BV36" s="157">
        <f t="shared" si="24"/>
        <v>0</v>
      </c>
      <c r="BW36" s="153"/>
      <c r="BX36" s="158">
        <f t="shared" si="25"/>
        <v>0</v>
      </c>
      <c r="BY36" s="286">
        <f t="shared" si="44"/>
        <v>0</v>
      </c>
      <c r="CA36"/>
    </row>
    <row r="37" spans="2:79" ht="15.75" customHeight="1">
      <c r="C37" s="2" t="s">
        <v>11</v>
      </c>
      <c r="D37" t="s">
        <v>6</v>
      </c>
      <c r="F37" s="15">
        <v>0</v>
      </c>
      <c r="H37" s="150" t="s">
        <v>205</v>
      </c>
      <c r="V37" s="58">
        <f t="shared" si="26"/>
        <v>53052</v>
      </c>
      <c r="W37" s="26">
        <v>21</v>
      </c>
      <c r="X37" s="282" t="str">
        <f t="shared" si="27"/>
        <v>-</v>
      </c>
      <c r="Y37" s="161">
        <f t="shared" si="0"/>
        <v>0</v>
      </c>
      <c r="Z37" s="159">
        <f t="shared" si="1"/>
        <v>0</v>
      </c>
      <c r="AA37" s="159">
        <f t="shared" si="2"/>
        <v>0</v>
      </c>
      <c r="AB37" s="159">
        <f t="shared" si="3"/>
        <v>0</v>
      </c>
      <c r="AC37" s="160">
        <f t="shared" si="28"/>
        <v>0</v>
      </c>
      <c r="AD37" s="161">
        <f t="shared" si="4"/>
        <v>0</v>
      </c>
      <c r="AE37" s="159">
        <f t="shared" si="5"/>
        <v>0</v>
      </c>
      <c r="AF37" s="159">
        <f t="shared" si="6"/>
        <v>0</v>
      </c>
      <c r="AG37" s="159">
        <f>IF(AND(SUM($AA$16:AA36)&gt;0,SUM($AG$16:AG36)&lt;$O$62,$W37&gt;=$O$65),$O$64,0)</f>
        <v>64.125</v>
      </c>
      <c r="AH37" s="156">
        <f>IF(SUM($AA$17:$AA36)&gt;0,($O$62-SUM($AG$17:$AG36))*$F$65,0)</f>
        <v>5.7712500000000002</v>
      </c>
      <c r="AI37" s="160">
        <f t="shared" si="29"/>
        <v>0</v>
      </c>
      <c r="AJ37" s="156">
        <f t="shared" si="7"/>
        <v>0</v>
      </c>
      <c r="AK37" s="158">
        <f>(SUM($P$31,$P$51)-SUM($AU$17:AU36))*$O$109</f>
        <v>0</v>
      </c>
      <c r="AL37" s="163"/>
      <c r="AM37" s="157">
        <f t="shared" si="8"/>
        <v>0</v>
      </c>
      <c r="AN37" s="164"/>
      <c r="AO37" s="155">
        <f t="shared" si="9"/>
        <v>0</v>
      </c>
      <c r="AP37" s="156">
        <f t="shared" si="10"/>
        <v>0</v>
      </c>
      <c r="AQ37" s="156">
        <f t="shared" si="11"/>
        <v>0</v>
      </c>
      <c r="AR37" s="159">
        <f t="shared" si="12"/>
        <v>0</v>
      </c>
      <c r="AS37" s="160">
        <f t="shared" si="30"/>
        <v>0</v>
      </c>
      <c r="AT37" s="159">
        <f t="shared" si="13"/>
        <v>0</v>
      </c>
      <c r="AU37" s="159">
        <f t="shared" si="14"/>
        <v>0</v>
      </c>
      <c r="AV37" s="159">
        <f t="shared" si="15"/>
        <v>0</v>
      </c>
      <c r="AW37" s="159">
        <f t="shared" si="31"/>
        <v>0</v>
      </c>
      <c r="AX37" s="159">
        <f t="shared" si="32"/>
        <v>0</v>
      </c>
      <c r="AY37" s="159">
        <f t="shared" si="16"/>
        <v>0</v>
      </c>
      <c r="AZ37" s="159">
        <f>IF(AND(SUM($AQ$16:AQ36)&gt;0,SUM($AZ$16:AZ36)&lt;$P$62,$W37&gt;=$P$65),$P$64,0)</f>
        <v>60.75</v>
      </c>
      <c r="BA37" s="159">
        <f>IF(SUM($AQ$17:$AQ36)&gt;0,($P$62-SUM($AZ$17:$AZ36))*$F$65,0)</f>
        <v>5.4674999999999994</v>
      </c>
      <c r="BB37" s="160">
        <f t="shared" si="33"/>
        <v>0</v>
      </c>
      <c r="BC37" s="156">
        <f t="shared" si="34"/>
        <v>0</v>
      </c>
      <c r="BD37" s="157">
        <f t="shared" si="17"/>
        <v>0</v>
      </c>
      <c r="BE37" s="172"/>
      <c r="BF37" s="46">
        <f t="shared" si="35"/>
        <v>0.49052325893527288</v>
      </c>
      <c r="BH37" s="155">
        <f t="shared" si="36"/>
        <v>0</v>
      </c>
      <c r="BI37" s="155">
        <f t="shared" si="37"/>
        <v>0</v>
      </c>
      <c r="BJ37" s="156">
        <f t="shared" si="38"/>
        <v>0</v>
      </c>
      <c r="BK37" s="156">
        <f t="shared" si="39"/>
        <v>0</v>
      </c>
      <c r="BL37" s="156">
        <f t="shared" si="40"/>
        <v>0</v>
      </c>
      <c r="BM37" s="156">
        <f t="shared" si="18"/>
        <v>0</v>
      </c>
      <c r="BN37" s="157">
        <f t="shared" si="41"/>
        <v>0</v>
      </c>
      <c r="BO37" s="156">
        <f t="shared" si="19"/>
        <v>0</v>
      </c>
      <c r="BP37" s="156">
        <f t="shared" si="20"/>
        <v>0</v>
      </c>
      <c r="BQ37" s="156">
        <f t="shared" si="21"/>
        <v>0</v>
      </c>
      <c r="BR37" s="156">
        <f t="shared" si="22"/>
        <v>0</v>
      </c>
      <c r="BS37" s="228">
        <f t="shared" si="42"/>
        <v>0</v>
      </c>
      <c r="BT37" s="156">
        <f t="shared" si="23"/>
        <v>0</v>
      </c>
      <c r="BU37" s="157">
        <f t="shared" si="43"/>
        <v>0</v>
      </c>
      <c r="BV37" s="157">
        <f t="shared" si="24"/>
        <v>0</v>
      </c>
      <c r="BW37" s="153"/>
      <c r="BX37" s="158">
        <f t="shared" si="25"/>
        <v>0</v>
      </c>
      <c r="BY37" s="286">
        <f t="shared" si="44"/>
        <v>0</v>
      </c>
      <c r="CA37"/>
    </row>
    <row r="38" spans="2:79" ht="15.75" customHeight="1">
      <c r="C38" s="99"/>
      <c r="D38" s="101" t="s">
        <v>103</v>
      </c>
      <c r="E38" s="100"/>
      <c r="F38" s="98">
        <f>BY15</f>
        <v>0</v>
      </c>
      <c r="V38" s="58">
        <f t="shared" si="26"/>
        <v>53417</v>
      </c>
      <c r="W38" s="26">
        <v>22</v>
      </c>
      <c r="X38" s="282" t="str">
        <f t="shared" si="27"/>
        <v>-</v>
      </c>
      <c r="Y38" s="161">
        <f t="shared" si="0"/>
        <v>0</v>
      </c>
      <c r="Z38" s="159">
        <f t="shared" si="1"/>
        <v>0</v>
      </c>
      <c r="AA38" s="159">
        <f t="shared" si="2"/>
        <v>0</v>
      </c>
      <c r="AB38" s="159">
        <f t="shared" si="3"/>
        <v>0</v>
      </c>
      <c r="AC38" s="160">
        <f t="shared" si="28"/>
        <v>0</v>
      </c>
      <c r="AD38" s="161">
        <f t="shared" si="4"/>
        <v>0</v>
      </c>
      <c r="AE38" s="159">
        <f t="shared" si="5"/>
        <v>0</v>
      </c>
      <c r="AF38" s="159">
        <f t="shared" si="6"/>
        <v>0</v>
      </c>
      <c r="AG38" s="159">
        <f>IF(AND(SUM($AA$16:AA37)&gt;0,SUM($AG$16:AG37)&lt;$O$62,$W38&gt;=$O$65),$O$64,0)</f>
        <v>64.125</v>
      </c>
      <c r="AH38" s="156">
        <f>IF(SUM($AA$17:$AA37)&gt;0,($O$62-SUM($AG$17:$AG37))*$F$65,0)</f>
        <v>4.8093750000000002</v>
      </c>
      <c r="AI38" s="160">
        <f t="shared" si="29"/>
        <v>0</v>
      </c>
      <c r="AJ38" s="156">
        <f t="shared" si="7"/>
        <v>0</v>
      </c>
      <c r="AK38" s="158">
        <f>(SUM($P$31,$P$51)-SUM($AU$17:AU37))*$O$109</f>
        <v>0</v>
      </c>
      <c r="AL38" s="163"/>
      <c r="AM38" s="157">
        <f t="shared" si="8"/>
        <v>0</v>
      </c>
      <c r="AN38" s="164"/>
      <c r="AO38" s="155">
        <f t="shared" si="9"/>
        <v>0</v>
      </c>
      <c r="AP38" s="156">
        <f t="shared" si="10"/>
        <v>0</v>
      </c>
      <c r="AQ38" s="156">
        <f t="shared" si="11"/>
        <v>0</v>
      </c>
      <c r="AR38" s="159">
        <f t="shared" si="12"/>
        <v>0</v>
      </c>
      <c r="AS38" s="160">
        <f t="shared" si="30"/>
        <v>0</v>
      </c>
      <c r="AT38" s="159">
        <f t="shared" si="13"/>
        <v>0</v>
      </c>
      <c r="AU38" s="159">
        <f t="shared" si="14"/>
        <v>0</v>
      </c>
      <c r="AV38" s="159">
        <f t="shared" si="15"/>
        <v>0</v>
      </c>
      <c r="AW38" s="159">
        <f t="shared" si="31"/>
        <v>0</v>
      </c>
      <c r="AX38" s="159">
        <f t="shared" si="32"/>
        <v>0</v>
      </c>
      <c r="AY38" s="159">
        <f t="shared" si="16"/>
        <v>0</v>
      </c>
      <c r="AZ38" s="159">
        <f>IF(AND(SUM($AQ$16:AQ37)&gt;0,SUM($AZ$16:AZ37)&lt;$P$62,$W38&gt;=$P$65),$P$64,0)</f>
        <v>60.75</v>
      </c>
      <c r="BA38" s="159">
        <f>IF(SUM($AQ$17:$AQ37)&gt;0,($P$62-SUM($AZ$17:$AZ37))*$F$65,0)</f>
        <v>4.5562499999999995</v>
      </c>
      <c r="BB38" s="160">
        <f t="shared" si="33"/>
        <v>0</v>
      </c>
      <c r="BC38" s="156">
        <f t="shared" si="34"/>
        <v>0</v>
      </c>
      <c r="BD38" s="157">
        <f t="shared" si="17"/>
        <v>0</v>
      </c>
      <c r="BE38" s="172"/>
      <c r="BF38" s="46">
        <f t="shared" si="35"/>
        <v>0.47416458089441554</v>
      </c>
      <c r="BH38" s="155">
        <f t="shared" si="36"/>
        <v>0</v>
      </c>
      <c r="BI38" s="155">
        <f t="shared" si="37"/>
        <v>0</v>
      </c>
      <c r="BJ38" s="156">
        <f t="shared" si="38"/>
        <v>0</v>
      </c>
      <c r="BK38" s="156">
        <f t="shared" si="39"/>
        <v>0</v>
      </c>
      <c r="BL38" s="156">
        <f t="shared" si="40"/>
        <v>0</v>
      </c>
      <c r="BM38" s="156">
        <f t="shared" si="18"/>
        <v>0</v>
      </c>
      <c r="BN38" s="157">
        <f t="shared" si="41"/>
        <v>0</v>
      </c>
      <c r="BO38" s="156">
        <f t="shared" si="19"/>
        <v>0</v>
      </c>
      <c r="BP38" s="156">
        <f t="shared" si="20"/>
        <v>0</v>
      </c>
      <c r="BQ38" s="156">
        <f t="shared" si="21"/>
        <v>0</v>
      </c>
      <c r="BR38" s="156">
        <f t="shared" si="22"/>
        <v>0</v>
      </c>
      <c r="BS38" s="228">
        <f t="shared" si="42"/>
        <v>0</v>
      </c>
      <c r="BT38" s="156">
        <f t="shared" si="23"/>
        <v>0</v>
      </c>
      <c r="BU38" s="157">
        <f t="shared" si="43"/>
        <v>0</v>
      </c>
      <c r="BV38" s="157">
        <f t="shared" si="24"/>
        <v>0</v>
      </c>
      <c r="BW38" s="153"/>
      <c r="BX38" s="158">
        <f t="shared" si="25"/>
        <v>0</v>
      </c>
      <c r="BY38" s="286">
        <f t="shared" si="44"/>
        <v>0</v>
      </c>
      <c r="CA38"/>
    </row>
    <row r="39" spans="2:79" ht="15.75" customHeight="1">
      <c r="V39" s="58">
        <f t="shared" si="26"/>
        <v>53782</v>
      </c>
      <c r="W39" s="26">
        <v>23</v>
      </c>
      <c r="X39" s="282" t="str">
        <f t="shared" si="27"/>
        <v>-</v>
      </c>
      <c r="Y39" s="161">
        <f t="shared" si="0"/>
        <v>0</v>
      </c>
      <c r="Z39" s="159">
        <f t="shared" si="1"/>
        <v>0</v>
      </c>
      <c r="AA39" s="159">
        <f t="shared" si="2"/>
        <v>0</v>
      </c>
      <c r="AB39" s="159">
        <f t="shared" si="3"/>
        <v>0</v>
      </c>
      <c r="AC39" s="160">
        <f t="shared" si="28"/>
        <v>0</v>
      </c>
      <c r="AD39" s="161">
        <f t="shared" si="4"/>
        <v>0</v>
      </c>
      <c r="AE39" s="159">
        <f t="shared" si="5"/>
        <v>0</v>
      </c>
      <c r="AF39" s="159">
        <f t="shared" si="6"/>
        <v>0</v>
      </c>
      <c r="AG39" s="159">
        <f>IF(AND(SUM($AA$16:AA38)&gt;0,SUM($AG$16:AG38)&lt;$O$62,$W39&gt;=$O$65),$O$64,0)</f>
        <v>64.125</v>
      </c>
      <c r="AH39" s="156">
        <f>IF(SUM($AA$17:$AA38)&gt;0,($O$62-SUM($AG$17:$AG38))*$F$65,0)</f>
        <v>3.8474999999999997</v>
      </c>
      <c r="AI39" s="160">
        <f t="shared" si="29"/>
        <v>0</v>
      </c>
      <c r="AJ39" s="156">
        <f t="shared" si="7"/>
        <v>0</v>
      </c>
      <c r="AK39" s="158">
        <f>(SUM($P$31,$P$51)-SUM($AU$17:AU38))*$O$109</f>
        <v>0</v>
      </c>
      <c r="AL39" s="163"/>
      <c r="AM39" s="157">
        <f t="shared" si="8"/>
        <v>0</v>
      </c>
      <c r="AN39" s="164"/>
      <c r="AO39" s="155">
        <f t="shared" si="9"/>
        <v>0</v>
      </c>
      <c r="AP39" s="156">
        <f t="shared" si="10"/>
        <v>0</v>
      </c>
      <c r="AQ39" s="156">
        <f t="shared" si="11"/>
        <v>0</v>
      </c>
      <c r="AR39" s="159">
        <f t="shared" si="12"/>
        <v>0</v>
      </c>
      <c r="AS39" s="160">
        <f t="shared" si="30"/>
        <v>0</v>
      </c>
      <c r="AT39" s="159">
        <f t="shared" si="13"/>
        <v>0</v>
      </c>
      <c r="AU39" s="159">
        <f t="shared" si="14"/>
        <v>0</v>
      </c>
      <c r="AV39" s="159">
        <f t="shared" si="15"/>
        <v>0</v>
      </c>
      <c r="AW39" s="159">
        <f t="shared" si="31"/>
        <v>0</v>
      </c>
      <c r="AX39" s="159">
        <f t="shared" si="32"/>
        <v>0</v>
      </c>
      <c r="AY39" s="159">
        <f t="shared" si="16"/>
        <v>0</v>
      </c>
      <c r="AZ39" s="159">
        <f>IF(AND(SUM($AQ$16:AQ38)&gt;0,SUM($AZ$16:AZ38)&lt;$P$62,$W39&gt;=$P$65),$P$64,0)</f>
        <v>60.75</v>
      </c>
      <c r="BA39" s="159">
        <f>IF(SUM($AQ$17:$AQ38)&gt;0,($P$62-SUM($AZ$17:$AZ38))*$F$65,0)</f>
        <v>3.645</v>
      </c>
      <c r="BB39" s="160">
        <f t="shared" si="33"/>
        <v>0</v>
      </c>
      <c r="BC39" s="156">
        <f t="shared" si="34"/>
        <v>0</v>
      </c>
      <c r="BD39" s="157">
        <f t="shared" si="17"/>
        <v>0</v>
      </c>
      <c r="BE39" s="172"/>
      <c r="BF39" s="46">
        <f t="shared" si="35"/>
        <v>0.4583514556736738</v>
      </c>
      <c r="BH39" s="155">
        <f t="shared" si="36"/>
        <v>0</v>
      </c>
      <c r="BI39" s="155">
        <f t="shared" si="37"/>
        <v>0</v>
      </c>
      <c r="BJ39" s="156">
        <f t="shared" si="38"/>
        <v>0</v>
      </c>
      <c r="BK39" s="156">
        <f t="shared" si="39"/>
        <v>0</v>
      </c>
      <c r="BL39" s="156">
        <f t="shared" si="40"/>
        <v>0</v>
      </c>
      <c r="BM39" s="156">
        <f t="shared" si="18"/>
        <v>0</v>
      </c>
      <c r="BN39" s="157">
        <f t="shared" si="41"/>
        <v>0</v>
      </c>
      <c r="BO39" s="156">
        <f t="shared" si="19"/>
        <v>0</v>
      </c>
      <c r="BP39" s="156">
        <f t="shared" si="20"/>
        <v>0</v>
      </c>
      <c r="BQ39" s="156">
        <f t="shared" si="21"/>
        <v>0</v>
      </c>
      <c r="BR39" s="156">
        <f t="shared" si="22"/>
        <v>0</v>
      </c>
      <c r="BS39" s="228">
        <f t="shared" si="42"/>
        <v>0</v>
      </c>
      <c r="BT39" s="156">
        <f t="shared" si="23"/>
        <v>0</v>
      </c>
      <c r="BU39" s="157">
        <f t="shared" si="43"/>
        <v>0</v>
      </c>
      <c r="BV39" s="157">
        <f t="shared" si="24"/>
        <v>0</v>
      </c>
      <c r="BW39" s="153"/>
      <c r="BX39" s="158">
        <f t="shared" si="25"/>
        <v>0</v>
      </c>
      <c r="BY39" s="286">
        <f t="shared" si="44"/>
        <v>0</v>
      </c>
      <c r="CA39"/>
    </row>
    <row r="40" spans="2:79" ht="15.75" customHeight="1">
      <c r="B40" t="s">
        <v>183</v>
      </c>
      <c r="D40" t="s">
        <v>8</v>
      </c>
      <c r="F40" s="139"/>
      <c r="H40" s="72" t="s">
        <v>201</v>
      </c>
      <c r="J40" s="4" t="s">
        <v>192</v>
      </c>
      <c r="V40" s="58">
        <f t="shared" si="26"/>
        <v>54148</v>
      </c>
      <c r="W40" s="26">
        <v>24</v>
      </c>
      <c r="X40" s="282" t="str">
        <f t="shared" si="27"/>
        <v>-</v>
      </c>
      <c r="Y40" s="161">
        <f t="shared" si="0"/>
        <v>0</v>
      </c>
      <c r="Z40" s="159">
        <f t="shared" si="1"/>
        <v>0</v>
      </c>
      <c r="AA40" s="159">
        <f t="shared" si="2"/>
        <v>0</v>
      </c>
      <c r="AB40" s="159">
        <f t="shared" si="3"/>
        <v>0</v>
      </c>
      <c r="AC40" s="160">
        <f t="shared" si="28"/>
        <v>0</v>
      </c>
      <c r="AD40" s="161">
        <f t="shared" si="4"/>
        <v>0</v>
      </c>
      <c r="AE40" s="159">
        <f t="shared" si="5"/>
        <v>0</v>
      </c>
      <c r="AF40" s="159">
        <f t="shared" si="6"/>
        <v>0</v>
      </c>
      <c r="AG40" s="159">
        <f>IF(AND(SUM($AA$16:AA39)&gt;0,SUM($AG$16:AG39)&lt;$O$62,$W40&gt;=$O$65),$O$64,0)</f>
        <v>64.125</v>
      </c>
      <c r="AH40" s="156">
        <f>IF(SUM($AA$17:$AA39)&gt;0,($O$62-SUM($AG$17:$AG39))*$F$65,0)</f>
        <v>2.8856250000000001</v>
      </c>
      <c r="AI40" s="160">
        <f t="shared" si="29"/>
        <v>0</v>
      </c>
      <c r="AJ40" s="156">
        <f t="shared" si="7"/>
        <v>0</v>
      </c>
      <c r="AK40" s="158">
        <f>(SUM($P$31,$P$51)-SUM($AU$17:AU39))*$O$109</f>
        <v>0</v>
      </c>
      <c r="AL40" s="163"/>
      <c r="AM40" s="157">
        <f t="shared" si="8"/>
        <v>0</v>
      </c>
      <c r="AN40" s="164"/>
      <c r="AO40" s="155">
        <f t="shared" si="9"/>
        <v>0</v>
      </c>
      <c r="AP40" s="156">
        <f t="shared" si="10"/>
        <v>0</v>
      </c>
      <c r="AQ40" s="156">
        <f t="shared" si="11"/>
        <v>0</v>
      </c>
      <c r="AR40" s="159">
        <f t="shared" si="12"/>
        <v>0</v>
      </c>
      <c r="AS40" s="160">
        <f t="shared" si="30"/>
        <v>0</v>
      </c>
      <c r="AT40" s="159">
        <f t="shared" si="13"/>
        <v>0</v>
      </c>
      <c r="AU40" s="159">
        <f t="shared" si="14"/>
        <v>0</v>
      </c>
      <c r="AV40" s="159">
        <f t="shared" si="15"/>
        <v>0</v>
      </c>
      <c r="AW40" s="159">
        <f t="shared" si="31"/>
        <v>0</v>
      </c>
      <c r="AX40" s="159">
        <f t="shared" si="32"/>
        <v>0</v>
      </c>
      <c r="AY40" s="159">
        <f t="shared" si="16"/>
        <v>0</v>
      </c>
      <c r="AZ40" s="159">
        <f>IF(AND(SUM($AQ$16:AQ39)&gt;0,SUM($AZ$16:AZ39)&lt;$P$62,$W40&gt;=$P$65),$P$64,0)</f>
        <v>60.75</v>
      </c>
      <c r="BA40" s="159">
        <f>IF(SUM($AQ$17:$AQ39)&gt;0,($P$62-SUM($AZ$17:$AZ39))*$F$65,0)</f>
        <v>2.7337499999999997</v>
      </c>
      <c r="BB40" s="160">
        <f t="shared" si="33"/>
        <v>0</v>
      </c>
      <c r="BC40" s="156">
        <f t="shared" si="34"/>
        <v>0</v>
      </c>
      <c r="BD40" s="157">
        <f t="shared" si="17"/>
        <v>0</v>
      </c>
      <c r="BE40" s="172"/>
      <c r="BF40" s="46">
        <f t="shared" si="35"/>
        <v>0.44306568938972818</v>
      </c>
      <c r="BH40" s="155">
        <f t="shared" si="36"/>
        <v>0</v>
      </c>
      <c r="BI40" s="155">
        <f t="shared" si="37"/>
        <v>0</v>
      </c>
      <c r="BJ40" s="156">
        <f t="shared" si="38"/>
        <v>0</v>
      </c>
      <c r="BK40" s="156">
        <f t="shared" si="39"/>
        <v>0</v>
      </c>
      <c r="BL40" s="156">
        <f t="shared" si="40"/>
        <v>0</v>
      </c>
      <c r="BM40" s="156">
        <f t="shared" si="18"/>
        <v>0</v>
      </c>
      <c r="BN40" s="157">
        <f t="shared" si="41"/>
        <v>0</v>
      </c>
      <c r="BO40" s="156">
        <f t="shared" si="19"/>
        <v>0</v>
      </c>
      <c r="BP40" s="156">
        <f t="shared" si="20"/>
        <v>0</v>
      </c>
      <c r="BQ40" s="156">
        <f t="shared" si="21"/>
        <v>0</v>
      </c>
      <c r="BR40" s="156">
        <f t="shared" si="22"/>
        <v>0</v>
      </c>
      <c r="BS40" s="228">
        <f t="shared" si="42"/>
        <v>0</v>
      </c>
      <c r="BT40" s="156">
        <f t="shared" si="23"/>
        <v>0</v>
      </c>
      <c r="BU40" s="157">
        <f t="shared" si="43"/>
        <v>0</v>
      </c>
      <c r="BV40" s="157">
        <f t="shared" si="24"/>
        <v>0</v>
      </c>
      <c r="BW40" s="153"/>
      <c r="BX40" s="158">
        <f t="shared" si="25"/>
        <v>0</v>
      </c>
      <c r="BY40" s="286">
        <f t="shared" si="44"/>
        <v>0</v>
      </c>
      <c r="CA40"/>
    </row>
    <row r="41" spans="2:79" ht="15.75" customHeight="1">
      <c r="C41" s="2" t="s">
        <v>72</v>
      </c>
      <c r="D41" t="s">
        <v>8</v>
      </c>
      <c r="F41" s="139"/>
      <c r="K41" t="s">
        <v>190</v>
      </c>
      <c r="N41" s="19" t="s">
        <v>8</v>
      </c>
      <c r="O41" s="21">
        <f>F40</f>
        <v>0</v>
      </c>
      <c r="P41" s="69">
        <f>F40*(1-F52)</f>
        <v>0</v>
      </c>
      <c r="Q41" t="s">
        <v>59</v>
      </c>
      <c r="V41" s="58">
        <f t="shared" si="26"/>
        <v>54513</v>
      </c>
      <c r="W41" s="26">
        <v>25</v>
      </c>
      <c r="X41" s="282" t="str">
        <f t="shared" si="27"/>
        <v>-</v>
      </c>
      <c r="Y41" s="161">
        <f t="shared" si="0"/>
        <v>0</v>
      </c>
      <c r="Z41" s="159">
        <f t="shared" si="1"/>
        <v>0</v>
      </c>
      <c r="AA41" s="159">
        <f t="shared" si="2"/>
        <v>0</v>
      </c>
      <c r="AB41" s="159">
        <f t="shared" si="3"/>
        <v>0</v>
      </c>
      <c r="AC41" s="160">
        <f t="shared" si="28"/>
        <v>0</v>
      </c>
      <c r="AD41" s="161">
        <f t="shared" si="4"/>
        <v>0</v>
      </c>
      <c r="AE41" s="159">
        <f t="shared" si="5"/>
        <v>0</v>
      </c>
      <c r="AF41" s="159">
        <f t="shared" si="6"/>
        <v>0</v>
      </c>
      <c r="AG41" s="159">
        <f>IF(AND(SUM($AA$16:AA40)&gt;0,SUM($AG$16:AG40)&lt;$O$62,$W41&gt;=$O$65),$O$64,0)</f>
        <v>64.125</v>
      </c>
      <c r="AH41" s="156">
        <f>IF(SUM($AA$17:$AA40)&gt;0,($O$62-SUM($AG$17:$AG40))*$F$65,0)</f>
        <v>1.9237499999999998</v>
      </c>
      <c r="AI41" s="160">
        <f t="shared" si="29"/>
        <v>0</v>
      </c>
      <c r="AJ41" s="156">
        <f t="shared" si="7"/>
        <v>0</v>
      </c>
      <c r="AK41" s="158">
        <f>(SUM($P$31,$P$51)-SUM($AU$17:AU40))*$O$109</f>
        <v>0</v>
      </c>
      <c r="AL41" s="163"/>
      <c r="AM41" s="157">
        <f t="shared" si="8"/>
        <v>0</v>
      </c>
      <c r="AN41" s="164"/>
      <c r="AO41" s="155">
        <f t="shared" si="9"/>
        <v>0</v>
      </c>
      <c r="AP41" s="156">
        <f t="shared" si="10"/>
        <v>0</v>
      </c>
      <c r="AQ41" s="156">
        <f t="shared" si="11"/>
        <v>0</v>
      </c>
      <c r="AR41" s="159">
        <f t="shared" si="12"/>
        <v>0</v>
      </c>
      <c r="AS41" s="160">
        <f t="shared" si="30"/>
        <v>0</v>
      </c>
      <c r="AT41" s="159">
        <f t="shared" si="13"/>
        <v>0</v>
      </c>
      <c r="AU41" s="159">
        <f t="shared" si="14"/>
        <v>0</v>
      </c>
      <c r="AV41" s="159">
        <f t="shared" si="15"/>
        <v>0</v>
      </c>
      <c r="AW41" s="159">
        <f t="shared" si="31"/>
        <v>0</v>
      </c>
      <c r="AX41" s="159">
        <f t="shared" si="32"/>
        <v>0</v>
      </c>
      <c r="AY41" s="159">
        <f t="shared" si="16"/>
        <v>0</v>
      </c>
      <c r="AZ41" s="159">
        <f>IF(AND(SUM($AQ$16:AQ40)&gt;0,SUM($AZ$16:AZ40)&lt;$P$62,$W41&gt;=$P$65),$P$64,0)</f>
        <v>60.75</v>
      </c>
      <c r="BA41" s="159">
        <f>IF(SUM($AQ$17:$AQ40)&gt;0,($P$62-SUM($AZ$17:$AZ40))*$F$65,0)</f>
        <v>1.8225</v>
      </c>
      <c r="BB41" s="160">
        <f t="shared" si="33"/>
        <v>0</v>
      </c>
      <c r="BC41" s="156">
        <f t="shared" si="34"/>
        <v>0</v>
      </c>
      <c r="BD41" s="157">
        <f t="shared" si="17"/>
        <v>0</v>
      </c>
      <c r="BE41" s="166"/>
      <c r="BF41" s="46">
        <f t="shared" si="35"/>
        <v>0.42828969491515534</v>
      </c>
      <c r="BH41" s="155">
        <f t="shared" si="36"/>
        <v>0</v>
      </c>
      <c r="BI41" s="155">
        <f t="shared" si="37"/>
        <v>0</v>
      </c>
      <c r="BJ41" s="156">
        <f t="shared" si="38"/>
        <v>0</v>
      </c>
      <c r="BK41" s="156">
        <f t="shared" si="39"/>
        <v>0</v>
      </c>
      <c r="BL41" s="156">
        <f t="shared" si="40"/>
        <v>0</v>
      </c>
      <c r="BM41" s="156">
        <f t="shared" si="18"/>
        <v>0</v>
      </c>
      <c r="BN41" s="157">
        <f t="shared" si="41"/>
        <v>0</v>
      </c>
      <c r="BO41" s="156">
        <f t="shared" si="19"/>
        <v>0</v>
      </c>
      <c r="BP41" s="156">
        <f t="shared" si="20"/>
        <v>0</v>
      </c>
      <c r="BQ41" s="156">
        <f t="shared" si="21"/>
        <v>0</v>
      </c>
      <c r="BR41" s="156">
        <f t="shared" si="22"/>
        <v>0</v>
      </c>
      <c r="BS41" s="228">
        <f t="shared" si="42"/>
        <v>0</v>
      </c>
      <c r="BT41" s="156">
        <f t="shared" si="23"/>
        <v>0</v>
      </c>
      <c r="BU41" s="157">
        <f t="shared" si="43"/>
        <v>0</v>
      </c>
      <c r="BV41" s="157">
        <f t="shared" si="24"/>
        <v>0</v>
      </c>
      <c r="BW41" s="153"/>
      <c r="BX41" s="158">
        <f t="shared" si="25"/>
        <v>0</v>
      </c>
      <c r="BY41" s="286">
        <f t="shared" si="44"/>
        <v>0</v>
      </c>
      <c r="CA41"/>
    </row>
    <row r="42" spans="2:79" ht="15.75" customHeight="1">
      <c r="C42" s="2" t="s">
        <v>71</v>
      </c>
      <c r="D42" t="s">
        <v>8</v>
      </c>
      <c r="F42" s="139"/>
      <c r="K42" t="s">
        <v>21</v>
      </c>
      <c r="N42" s="19" t="s">
        <v>8</v>
      </c>
      <c r="O42" s="53"/>
      <c r="P42" s="53"/>
      <c r="Q42" t="s">
        <v>214</v>
      </c>
      <c r="V42" s="58">
        <f t="shared" si="26"/>
        <v>54878</v>
      </c>
      <c r="W42" s="26">
        <v>26</v>
      </c>
      <c r="X42" s="282" t="str">
        <f t="shared" si="27"/>
        <v>-</v>
      </c>
      <c r="Y42" s="161">
        <f t="shared" si="0"/>
        <v>0</v>
      </c>
      <c r="Z42" s="159">
        <f t="shared" si="1"/>
        <v>0</v>
      </c>
      <c r="AA42" s="159">
        <f t="shared" si="2"/>
        <v>0</v>
      </c>
      <c r="AB42" s="159">
        <f t="shared" si="3"/>
        <v>0</v>
      </c>
      <c r="AC42" s="160">
        <f t="shared" si="28"/>
        <v>0</v>
      </c>
      <c r="AD42" s="161">
        <f t="shared" si="4"/>
        <v>0</v>
      </c>
      <c r="AE42" s="159">
        <f t="shared" si="5"/>
        <v>0</v>
      </c>
      <c r="AF42" s="159">
        <f t="shared" si="6"/>
        <v>0</v>
      </c>
      <c r="AG42" s="159">
        <f>IF(AND(SUM($AA$16:AA41)&gt;0,SUM($AG$16:AG41)&lt;$O$62,$W42&gt;=$O$65),$O$64,0)</f>
        <v>64.125</v>
      </c>
      <c r="AH42" s="156">
        <f>IF(SUM($AA$17:$AA41)&gt;0,($O$62-SUM($AG$17:$AG41))*$F$65,0)</f>
        <v>0.96187499999999992</v>
      </c>
      <c r="AI42" s="160">
        <f t="shared" si="29"/>
        <v>0</v>
      </c>
      <c r="AJ42" s="156">
        <f t="shared" si="7"/>
        <v>0</v>
      </c>
      <c r="AK42" s="158">
        <f>(SUM($P$31,$P$51)-SUM($AU$17:AU41))*$O$109</f>
        <v>0</v>
      </c>
      <c r="AL42" s="163"/>
      <c r="AM42" s="157">
        <f t="shared" si="8"/>
        <v>0</v>
      </c>
      <c r="AN42" s="164"/>
      <c r="AO42" s="155">
        <f t="shared" si="9"/>
        <v>0</v>
      </c>
      <c r="AP42" s="156">
        <f t="shared" si="10"/>
        <v>0</v>
      </c>
      <c r="AQ42" s="156">
        <f t="shared" si="11"/>
        <v>0</v>
      </c>
      <c r="AR42" s="159">
        <f t="shared" si="12"/>
        <v>0</v>
      </c>
      <c r="AS42" s="160">
        <f t="shared" si="30"/>
        <v>0</v>
      </c>
      <c r="AT42" s="159">
        <f t="shared" si="13"/>
        <v>0</v>
      </c>
      <c r="AU42" s="159">
        <f t="shared" si="14"/>
        <v>0</v>
      </c>
      <c r="AV42" s="159">
        <f t="shared" si="15"/>
        <v>0</v>
      </c>
      <c r="AW42" s="159">
        <f t="shared" si="31"/>
        <v>0</v>
      </c>
      <c r="AX42" s="159">
        <f t="shared" si="32"/>
        <v>0</v>
      </c>
      <c r="AY42" s="159">
        <f t="shared" si="16"/>
        <v>0</v>
      </c>
      <c r="AZ42" s="159">
        <f>IF(AND(SUM($AQ$16:AQ41)&gt;0,SUM($AZ$16:AZ41)&lt;$P$62,$W42&gt;=$P$65),$P$64,0)</f>
        <v>60.75</v>
      </c>
      <c r="BA42" s="159">
        <f>IF(SUM($AQ$17:$AQ41)&gt;0,($P$62-SUM($AZ$17:$AZ41))*$F$65,0)</f>
        <v>0.91125</v>
      </c>
      <c r="BB42" s="160">
        <f t="shared" si="33"/>
        <v>0</v>
      </c>
      <c r="BC42" s="156">
        <f t="shared" si="34"/>
        <v>0</v>
      </c>
      <c r="BD42" s="157">
        <f t="shared" si="17"/>
        <v>0</v>
      </c>
      <c r="BE42" s="166"/>
      <c r="BF42" s="46">
        <f t="shared" si="35"/>
        <v>0.41400647164345611</v>
      </c>
      <c r="BH42" s="155">
        <f t="shared" si="36"/>
        <v>0</v>
      </c>
      <c r="BI42" s="155">
        <f t="shared" si="37"/>
        <v>0</v>
      </c>
      <c r="BJ42" s="156">
        <f t="shared" si="38"/>
        <v>0</v>
      </c>
      <c r="BK42" s="156">
        <f t="shared" si="39"/>
        <v>0</v>
      </c>
      <c r="BL42" s="156">
        <f t="shared" si="40"/>
        <v>0</v>
      </c>
      <c r="BM42" s="156">
        <f t="shared" si="18"/>
        <v>0</v>
      </c>
      <c r="BN42" s="157">
        <f t="shared" si="41"/>
        <v>0</v>
      </c>
      <c r="BO42" s="156">
        <f t="shared" si="19"/>
        <v>0</v>
      </c>
      <c r="BP42" s="156">
        <f t="shared" si="20"/>
        <v>0</v>
      </c>
      <c r="BQ42" s="156">
        <f t="shared" si="21"/>
        <v>0</v>
      </c>
      <c r="BR42" s="156">
        <f t="shared" si="22"/>
        <v>0</v>
      </c>
      <c r="BS42" s="228">
        <f t="shared" si="42"/>
        <v>0</v>
      </c>
      <c r="BT42" s="156">
        <f t="shared" si="23"/>
        <v>0</v>
      </c>
      <c r="BU42" s="157">
        <f t="shared" si="43"/>
        <v>0</v>
      </c>
      <c r="BV42" s="157">
        <f t="shared" si="24"/>
        <v>0</v>
      </c>
      <c r="BW42" s="153"/>
      <c r="BX42" s="158">
        <f t="shared" si="25"/>
        <v>0</v>
      </c>
      <c r="BY42" s="286">
        <f t="shared" si="44"/>
        <v>0</v>
      </c>
      <c r="CA42"/>
    </row>
    <row r="43" spans="2:79" ht="15.75" customHeight="1">
      <c r="B43" t="s">
        <v>217</v>
      </c>
      <c r="E43" s="19" t="s">
        <v>0</v>
      </c>
      <c r="F43" s="19" t="s">
        <v>1</v>
      </c>
      <c r="K43" t="s">
        <v>215</v>
      </c>
      <c r="N43" s="19" t="s">
        <v>8</v>
      </c>
      <c r="O43" s="53"/>
      <c r="P43" s="53"/>
      <c r="V43" s="58">
        <f t="shared" si="26"/>
        <v>55243</v>
      </c>
      <c r="W43" s="26">
        <v>27</v>
      </c>
      <c r="X43" s="282" t="str">
        <f t="shared" si="27"/>
        <v>-</v>
      </c>
      <c r="Y43" s="161">
        <f t="shared" si="0"/>
        <v>0</v>
      </c>
      <c r="Z43" s="159">
        <f t="shared" si="1"/>
        <v>0</v>
      </c>
      <c r="AA43" s="159">
        <f t="shared" si="2"/>
        <v>0</v>
      </c>
      <c r="AB43" s="159">
        <f t="shared" si="3"/>
        <v>0</v>
      </c>
      <c r="AC43" s="160">
        <f t="shared" si="28"/>
        <v>0</v>
      </c>
      <c r="AD43" s="161">
        <f t="shared" si="4"/>
        <v>0</v>
      </c>
      <c r="AE43" s="159">
        <f t="shared" si="5"/>
        <v>0</v>
      </c>
      <c r="AF43" s="159">
        <f t="shared" si="6"/>
        <v>0</v>
      </c>
      <c r="AG43" s="159">
        <f>IF(AND(SUM($AA$16:AA42)&gt;0,SUM($AG$16:AG42)&lt;$O$62,$W43&gt;=$O$65),$O$64,0)</f>
        <v>0</v>
      </c>
      <c r="AH43" s="156">
        <f>IF(SUM($AA$17:$AA42)&gt;0,($O$62-SUM($AG$17:$AG42))*$F$65,0)</f>
        <v>0</v>
      </c>
      <c r="AI43" s="160">
        <f t="shared" si="29"/>
        <v>0</v>
      </c>
      <c r="AJ43" s="156">
        <f t="shared" si="7"/>
        <v>0</v>
      </c>
      <c r="AK43" s="158">
        <f>(SUM($P$31,$P$51)-SUM($AU$17:AU42))*$O$109</f>
        <v>0</v>
      </c>
      <c r="AL43" s="163"/>
      <c r="AM43" s="157">
        <f t="shared" si="8"/>
        <v>0</v>
      </c>
      <c r="AN43" s="164"/>
      <c r="AO43" s="155">
        <f t="shared" si="9"/>
        <v>0</v>
      </c>
      <c r="AP43" s="156">
        <f t="shared" si="10"/>
        <v>0</v>
      </c>
      <c r="AQ43" s="156">
        <f t="shared" si="11"/>
        <v>0</v>
      </c>
      <c r="AR43" s="159">
        <f t="shared" si="12"/>
        <v>0</v>
      </c>
      <c r="AS43" s="160">
        <f t="shared" si="30"/>
        <v>0</v>
      </c>
      <c r="AT43" s="159">
        <f t="shared" si="13"/>
        <v>0</v>
      </c>
      <c r="AU43" s="159">
        <f t="shared" si="14"/>
        <v>0</v>
      </c>
      <c r="AV43" s="159">
        <f t="shared" si="15"/>
        <v>0</v>
      </c>
      <c r="AW43" s="159">
        <f t="shared" si="31"/>
        <v>0</v>
      </c>
      <c r="AX43" s="159">
        <f t="shared" si="32"/>
        <v>0</v>
      </c>
      <c r="AY43" s="159">
        <f t="shared" si="16"/>
        <v>0</v>
      </c>
      <c r="AZ43" s="159">
        <f>IF(AND(SUM($AQ$16:AQ42)&gt;0,SUM($AZ$16:AZ42)&lt;$P$62,$W43&gt;=$P$65),$P$64,0)</f>
        <v>0</v>
      </c>
      <c r="BA43" s="159">
        <f>IF(SUM($AQ$17:$AQ42)&gt;0,($P$62-SUM($AZ$17:$AZ42))*$F$65,0)</f>
        <v>0</v>
      </c>
      <c r="BB43" s="160">
        <f t="shared" si="33"/>
        <v>0</v>
      </c>
      <c r="BC43" s="156">
        <f t="shared" si="34"/>
        <v>0</v>
      </c>
      <c r="BD43" s="157">
        <f t="shared" si="17"/>
        <v>0</v>
      </c>
      <c r="BE43" s="166"/>
      <c r="BF43" s="46">
        <f t="shared" si="35"/>
        <v>0.40019958592890875</v>
      </c>
      <c r="BH43" s="155">
        <f t="shared" si="36"/>
        <v>0</v>
      </c>
      <c r="BI43" s="155">
        <f t="shared" si="37"/>
        <v>0</v>
      </c>
      <c r="BJ43" s="156">
        <f t="shared" si="38"/>
        <v>0</v>
      </c>
      <c r="BK43" s="156">
        <f t="shared" si="39"/>
        <v>0</v>
      </c>
      <c r="BL43" s="156">
        <f t="shared" si="40"/>
        <v>0</v>
      </c>
      <c r="BM43" s="156">
        <f t="shared" si="18"/>
        <v>0</v>
      </c>
      <c r="BN43" s="157">
        <f t="shared" si="41"/>
        <v>0</v>
      </c>
      <c r="BO43" s="156">
        <f t="shared" si="19"/>
        <v>0</v>
      </c>
      <c r="BP43" s="156">
        <f t="shared" si="20"/>
        <v>0</v>
      </c>
      <c r="BQ43" s="156">
        <f t="shared" si="21"/>
        <v>0</v>
      </c>
      <c r="BR43" s="156">
        <f t="shared" si="22"/>
        <v>0</v>
      </c>
      <c r="BS43" s="228">
        <f t="shared" si="42"/>
        <v>0</v>
      </c>
      <c r="BT43" s="156">
        <f t="shared" si="23"/>
        <v>0</v>
      </c>
      <c r="BU43" s="157">
        <f t="shared" si="43"/>
        <v>0</v>
      </c>
      <c r="BV43" s="157">
        <f t="shared" si="24"/>
        <v>0</v>
      </c>
      <c r="BW43" s="153"/>
      <c r="BX43" s="158">
        <f t="shared" si="25"/>
        <v>0</v>
      </c>
      <c r="BY43" s="286">
        <f t="shared" si="44"/>
        <v>0</v>
      </c>
      <c r="CA43"/>
    </row>
    <row r="44" spans="2:79" ht="15.75" customHeight="1">
      <c r="C44" s="275" t="s">
        <v>253</v>
      </c>
      <c r="D44" t="s">
        <v>8</v>
      </c>
      <c r="E44" s="276"/>
      <c r="F44" s="192">
        <v>25</v>
      </c>
      <c r="K44" t="s">
        <v>191</v>
      </c>
      <c r="N44" s="19" t="s">
        <v>8</v>
      </c>
      <c r="O44" s="21">
        <f>O41*$F$17</f>
        <v>0</v>
      </c>
      <c r="P44" s="21">
        <f>P43*$F$17</f>
        <v>0</v>
      </c>
      <c r="V44" s="58">
        <f t="shared" si="26"/>
        <v>55609</v>
      </c>
      <c r="W44" s="26">
        <v>28</v>
      </c>
      <c r="X44" s="282" t="str">
        <f t="shared" si="27"/>
        <v>-</v>
      </c>
      <c r="Y44" s="161">
        <f t="shared" si="0"/>
        <v>0</v>
      </c>
      <c r="Z44" s="159">
        <f t="shared" si="1"/>
        <v>0</v>
      </c>
      <c r="AA44" s="159">
        <f t="shared" si="2"/>
        <v>0</v>
      </c>
      <c r="AB44" s="159">
        <f t="shared" si="3"/>
        <v>0</v>
      </c>
      <c r="AC44" s="160">
        <f t="shared" si="28"/>
        <v>0</v>
      </c>
      <c r="AD44" s="161">
        <f t="shared" si="4"/>
        <v>0</v>
      </c>
      <c r="AE44" s="159">
        <f t="shared" si="5"/>
        <v>0</v>
      </c>
      <c r="AF44" s="159">
        <f t="shared" si="6"/>
        <v>0</v>
      </c>
      <c r="AG44" s="159">
        <f>IF(AND(SUM($AA$16:AA43)&gt;0,SUM($AG$16:AG43)&lt;$O$62,$W44&gt;=$O$65),$O$64,0)</f>
        <v>0</v>
      </c>
      <c r="AH44" s="156">
        <f>IF(SUM($AA$17:$AA43)&gt;0,($O$62-SUM($AG$17:$AG43))*$F$65,0)</f>
        <v>0</v>
      </c>
      <c r="AI44" s="160">
        <f t="shared" si="29"/>
        <v>0</v>
      </c>
      <c r="AJ44" s="156">
        <f t="shared" si="7"/>
        <v>0</v>
      </c>
      <c r="AK44" s="158">
        <f>(SUM($P$31,$P$51)-SUM($AU$17:AU43))*$O$109</f>
        <v>0</v>
      </c>
      <c r="AL44" s="163"/>
      <c r="AM44" s="157">
        <f t="shared" si="8"/>
        <v>0</v>
      </c>
      <c r="AN44" s="164"/>
      <c r="AO44" s="155">
        <f t="shared" si="9"/>
        <v>0</v>
      </c>
      <c r="AP44" s="156">
        <f t="shared" si="10"/>
        <v>0</v>
      </c>
      <c r="AQ44" s="156">
        <f t="shared" si="11"/>
        <v>0</v>
      </c>
      <c r="AR44" s="159">
        <f t="shared" si="12"/>
        <v>0</v>
      </c>
      <c r="AS44" s="160">
        <f t="shared" si="30"/>
        <v>0</v>
      </c>
      <c r="AT44" s="159">
        <f t="shared" si="13"/>
        <v>0</v>
      </c>
      <c r="AU44" s="159">
        <f t="shared" si="14"/>
        <v>0</v>
      </c>
      <c r="AV44" s="159">
        <f t="shared" si="15"/>
        <v>0</v>
      </c>
      <c r="AW44" s="159">
        <f t="shared" si="31"/>
        <v>0</v>
      </c>
      <c r="AX44" s="159">
        <f t="shared" si="32"/>
        <v>0</v>
      </c>
      <c r="AY44" s="159">
        <f t="shared" si="16"/>
        <v>0</v>
      </c>
      <c r="AZ44" s="159">
        <f>IF(AND(SUM($AQ$16:AQ43)&gt;0,SUM($AZ$16:AZ43)&lt;$P$62,$W44&gt;=$P$65),$P$64,0)</f>
        <v>0</v>
      </c>
      <c r="BA44" s="159">
        <f>IF(SUM($AQ$17:$AQ43)&gt;0,($P$62-SUM($AZ$17:$AZ43))*$F$65,0)</f>
        <v>0</v>
      </c>
      <c r="BB44" s="160">
        <f t="shared" si="33"/>
        <v>0</v>
      </c>
      <c r="BC44" s="156">
        <f t="shared" si="34"/>
        <v>0</v>
      </c>
      <c r="BD44" s="157">
        <f t="shared" si="17"/>
        <v>0</v>
      </c>
      <c r="BE44" s="166"/>
      <c r="BF44" s="46">
        <f t="shared" si="35"/>
        <v>0.38685315217874217</v>
      </c>
      <c r="BH44" s="155">
        <f t="shared" si="36"/>
        <v>0</v>
      </c>
      <c r="BI44" s="155">
        <f t="shared" si="37"/>
        <v>0</v>
      </c>
      <c r="BJ44" s="156">
        <f t="shared" si="38"/>
        <v>0</v>
      </c>
      <c r="BK44" s="156">
        <f t="shared" si="39"/>
        <v>0</v>
      </c>
      <c r="BL44" s="156">
        <f t="shared" si="40"/>
        <v>0</v>
      </c>
      <c r="BM44" s="156">
        <f t="shared" si="18"/>
        <v>0</v>
      </c>
      <c r="BN44" s="157">
        <f t="shared" si="41"/>
        <v>0</v>
      </c>
      <c r="BO44" s="156">
        <f t="shared" si="19"/>
        <v>0</v>
      </c>
      <c r="BP44" s="156">
        <f t="shared" si="20"/>
        <v>0</v>
      </c>
      <c r="BQ44" s="156">
        <f t="shared" si="21"/>
        <v>0</v>
      </c>
      <c r="BR44" s="156">
        <f t="shared" si="22"/>
        <v>0</v>
      </c>
      <c r="BS44" s="228">
        <f t="shared" si="42"/>
        <v>0</v>
      </c>
      <c r="BT44" s="156">
        <f t="shared" si="23"/>
        <v>0</v>
      </c>
      <c r="BU44" s="157">
        <f t="shared" si="43"/>
        <v>0</v>
      </c>
      <c r="BV44" s="157">
        <f t="shared" si="24"/>
        <v>0</v>
      </c>
      <c r="BW44" s="153"/>
      <c r="BX44" s="158">
        <f t="shared" si="25"/>
        <v>0</v>
      </c>
      <c r="BY44" s="286">
        <f t="shared" si="44"/>
        <v>0</v>
      </c>
      <c r="CA44"/>
    </row>
    <row r="45" spans="2:79" ht="15.75" customHeight="1">
      <c r="C45" t="s">
        <v>254</v>
      </c>
      <c r="D45" t="s">
        <v>8</v>
      </c>
      <c r="E45" s="192">
        <v>10</v>
      </c>
      <c r="F45" s="192">
        <v>6</v>
      </c>
      <c r="V45" s="58">
        <f t="shared" si="26"/>
        <v>55974</v>
      </c>
      <c r="W45" s="26">
        <v>29</v>
      </c>
      <c r="X45" s="282" t="str">
        <f t="shared" si="27"/>
        <v>-</v>
      </c>
      <c r="Y45" s="161">
        <f t="shared" si="0"/>
        <v>0</v>
      </c>
      <c r="Z45" s="159">
        <f t="shared" si="1"/>
        <v>0</v>
      </c>
      <c r="AA45" s="159">
        <f t="shared" si="2"/>
        <v>0</v>
      </c>
      <c r="AB45" s="159">
        <f t="shared" si="3"/>
        <v>0</v>
      </c>
      <c r="AC45" s="160">
        <f t="shared" si="28"/>
        <v>0</v>
      </c>
      <c r="AD45" s="161">
        <f t="shared" si="4"/>
        <v>0</v>
      </c>
      <c r="AE45" s="159">
        <f t="shared" si="5"/>
        <v>0</v>
      </c>
      <c r="AF45" s="159">
        <f t="shared" si="6"/>
        <v>0</v>
      </c>
      <c r="AG45" s="159">
        <f>IF(AND(SUM($AA$16:AA44)&gt;0,SUM($AG$16:AG44)&lt;$O$62,$W45&gt;=$O$65),$O$64,0)</f>
        <v>0</v>
      </c>
      <c r="AH45" s="156">
        <f>IF(SUM($AA$17:$AA44)&gt;0,($O$62-SUM($AG$17:$AG44))*$F$65,0)</f>
        <v>0</v>
      </c>
      <c r="AI45" s="160">
        <f t="shared" si="29"/>
        <v>0</v>
      </c>
      <c r="AJ45" s="156">
        <f t="shared" si="7"/>
        <v>0</v>
      </c>
      <c r="AK45" s="158">
        <f>(SUM($P$31,$P$51)-SUM($AU$17:AU44))*$O$109</f>
        <v>0</v>
      </c>
      <c r="AL45" s="163"/>
      <c r="AM45" s="157">
        <f t="shared" si="8"/>
        <v>0</v>
      </c>
      <c r="AN45" s="164"/>
      <c r="AO45" s="155">
        <f t="shared" si="9"/>
        <v>0</v>
      </c>
      <c r="AP45" s="156">
        <f t="shared" si="10"/>
        <v>0</v>
      </c>
      <c r="AQ45" s="156">
        <f t="shared" si="11"/>
        <v>0</v>
      </c>
      <c r="AR45" s="159">
        <f t="shared" si="12"/>
        <v>0</v>
      </c>
      <c r="AS45" s="160">
        <f t="shared" si="30"/>
        <v>0</v>
      </c>
      <c r="AT45" s="159">
        <f t="shared" si="13"/>
        <v>0</v>
      </c>
      <c r="AU45" s="159">
        <f t="shared" si="14"/>
        <v>0</v>
      </c>
      <c r="AV45" s="159">
        <f t="shared" si="15"/>
        <v>0</v>
      </c>
      <c r="AW45" s="159">
        <f t="shared" si="31"/>
        <v>0</v>
      </c>
      <c r="AX45" s="159">
        <f t="shared" si="32"/>
        <v>0</v>
      </c>
      <c r="AY45" s="159">
        <f t="shared" si="16"/>
        <v>0</v>
      </c>
      <c r="AZ45" s="159">
        <f>IF(AND(SUM($AQ$16:AQ44)&gt;0,SUM($AZ$16:AZ44)&lt;$P$62,$W45&gt;=$P$65),$P$64,0)</f>
        <v>0</v>
      </c>
      <c r="BA45" s="159">
        <f>IF(SUM($AQ$17:$AQ44)&gt;0,($P$62-SUM($AZ$17:$AZ44))*$F$65,0)</f>
        <v>0</v>
      </c>
      <c r="BB45" s="160">
        <f t="shared" si="33"/>
        <v>0</v>
      </c>
      <c r="BC45" s="156">
        <f t="shared" si="34"/>
        <v>0</v>
      </c>
      <c r="BD45" s="157">
        <f t="shared" si="17"/>
        <v>0</v>
      </c>
      <c r="BE45" s="166"/>
      <c r="BF45" s="46">
        <f t="shared" si="35"/>
        <v>0.37395181457587451</v>
      </c>
      <c r="BH45" s="155">
        <f t="shared" si="36"/>
        <v>0</v>
      </c>
      <c r="BI45" s="155">
        <f t="shared" si="37"/>
        <v>0</v>
      </c>
      <c r="BJ45" s="156">
        <f t="shared" si="38"/>
        <v>0</v>
      </c>
      <c r="BK45" s="156">
        <f t="shared" si="39"/>
        <v>0</v>
      </c>
      <c r="BL45" s="156">
        <f t="shared" si="40"/>
        <v>0</v>
      </c>
      <c r="BM45" s="156">
        <f t="shared" si="18"/>
        <v>0</v>
      </c>
      <c r="BN45" s="157">
        <f t="shared" si="41"/>
        <v>0</v>
      </c>
      <c r="BO45" s="156">
        <f t="shared" si="19"/>
        <v>0</v>
      </c>
      <c r="BP45" s="156">
        <f t="shared" si="20"/>
        <v>0</v>
      </c>
      <c r="BQ45" s="156">
        <f t="shared" si="21"/>
        <v>0</v>
      </c>
      <c r="BR45" s="156">
        <f t="shared" si="22"/>
        <v>0</v>
      </c>
      <c r="BS45" s="228">
        <f t="shared" si="42"/>
        <v>0</v>
      </c>
      <c r="BT45" s="156">
        <f t="shared" si="23"/>
        <v>0</v>
      </c>
      <c r="BU45" s="157">
        <f t="shared" si="43"/>
        <v>0</v>
      </c>
      <c r="BV45" s="157">
        <f t="shared" si="24"/>
        <v>0</v>
      </c>
      <c r="BW45" s="153"/>
      <c r="BX45" s="158">
        <f t="shared" si="25"/>
        <v>0</v>
      </c>
      <c r="BY45" s="286">
        <f t="shared" si="44"/>
        <v>0</v>
      </c>
      <c r="CA45"/>
    </row>
    <row r="46" spans="2:79" ht="15.75" customHeight="1">
      <c r="B46" t="s">
        <v>224</v>
      </c>
      <c r="J46" s="4" t="s">
        <v>218</v>
      </c>
      <c r="V46" s="58">
        <f t="shared" si="26"/>
        <v>56339</v>
      </c>
      <c r="W46" s="26">
        <v>30</v>
      </c>
      <c r="X46" s="282" t="str">
        <f t="shared" si="27"/>
        <v>-</v>
      </c>
      <c r="Y46" s="161">
        <f t="shared" si="0"/>
        <v>0</v>
      </c>
      <c r="Z46" s="159">
        <f t="shared" si="1"/>
        <v>0</v>
      </c>
      <c r="AA46" s="159">
        <f t="shared" si="2"/>
        <v>0</v>
      </c>
      <c r="AB46" s="159">
        <f t="shared" si="3"/>
        <v>0</v>
      </c>
      <c r="AC46" s="160">
        <f t="shared" si="28"/>
        <v>0</v>
      </c>
      <c r="AD46" s="161">
        <f t="shared" si="4"/>
        <v>0</v>
      </c>
      <c r="AE46" s="159">
        <f t="shared" si="5"/>
        <v>0</v>
      </c>
      <c r="AF46" s="159">
        <f t="shared" si="6"/>
        <v>0</v>
      </c>
      <c r="AG46" s="159">
        <f>IF(AND(SUM($AA$16:AA45)&gt;0,SUM($AG$16:AG45)&lt;$O$62,$W46&gt;=$O$65),$O$64,0)</f>
        <v>0</v>
      </c>
      <c r="AH46" s="156">
        <f>IF(SUM($AA$17:$AA45)&gt;0,($O$62-SUM($AG$17:$AG45))*$F$65,0)</f>
        <v>0</v>
      </c>
      <c r="AI46" s="160">
        <f t="shared" si="29"/>
        <v>0</v>
      </c>
      <c r="AJ46" s="156">
        <f t="shared" si="7"/>
        <v>0</v>
      </c>
      <c r="AK46" s="158">
        <f>(SUM($P$31,$P$51)-SUM($AU$17:AU45))*$O$109</f>
        <v>0</v>
      </c>
      <c r="AL46" s="163"/>
      <c r="AM46" s="157">
        <f t="shared" si="8"/>
        <v>0</v>
      </c>
      <c r="AN46" s="164"/>
      <c r="AO46" s="155">
        <f t="shared" si="9"/>
        <v>0</v>
      </c>
      <c r="AP46" s="156">
        <f t="shared" si="10"/>
        <v>0</v>
      </c>
      <c r="AQ46" s="156">
        <f t="shared" si="11"/>
        <v>0</v>
      </c>
      <c r="AR46" s="159">
        <f t="shared" si="12"/>
        <v>0</v>
      </c>
      <c r="AS46" s="160">
        <f t="shared" si="30"/>
        <v>0</v>
      </c>
      <c r="AT46" s="159">
        <f t="shared" si="13"/>
        <v>0</v>
      </c>
      <c r="AU46" s="159">
        <f t="shared" si="14"/>
        <v>0</v>
      </c>
      <c r="AV46" s="159">
        <f t="shared" si="15"/>
        <v>0</v>
      </c>
      <c r="AW46" s="159">
        <f t="shared" si="31"/>
        <v>0</v>
      </c>
      <c r="AX46" s="159">
        <f t="shared" si="32"/>
        <v>0</v>
      </c>
      <c r="AY46" s="159">
        <f t="shared" si="16"/>
        <v>0</v>
      </c>
      <c r="AZ46" s="159">
        <f>IF(AND(SUM($AQ$16:AQ45)&gt;0,SUM($AZ$16:AZ45)&lt;$P$62,$W46&gt;=$P$65),$P$64,0)</f>
        <v>0</v>
      </c>
      <c r="BA46" s="159">
        <f>IF(SUM($AQ$17:$AQ45)&gt;0,($P$62-SUM($AZ$17:$AZ45))*$F$65,0)</f>
        <v>0</v>
      </c>
      <c r="BB46" s="160">
        <f t="shared" si="33"/>
        <v>0</v>
      </c>
      <c r="BC46" s="156">
        <f t="shared" si="34"/>
        <v>0</v>
      </c>
      <c r="BD46" s="157">
        <f t="shared" si="17"/>
        <v>0</v>
      </c>
      <c r="BE46" s="166"/>
      <c r="BF46" s="47">
        <f t="shared" si="35"/>
        <v>0.36148072941118853</v>
      </c>
      <c r="BH46" s="155">
        <f t="shared" si="36"/>
        <v>0</v>
      </c>
      <c r="BI46" s="155">
        <f t="shared" si="37"/>
        <v>0</v>
      </c>
      <c r="BJ46" s="156">
        <f t="shared" si="38"/>
        <v>0</v>
      </c>
      <c r="BK46" s="156">
        <f t="shared" si="39"/>
        <v>0</v>
      </c>
      <c r="BL46" s="156">
        <f t="shared" si="40"/>
        <v>0</v>
      </c>
      <c r="BM46" s="159">
        <f t="shared" si="18"/>
        <v>0</v>
      </c>
      <c r="BN46" s="160">
        <f t="shared" si="41"/>
        <v>0</v>
      </c>
      <c r="BO46" s="156">
        <f t="shared" si="19"/>
        <v>0</v>
      </c>
      <c r="BP46" s="156">
        <f t="shared" si="20"/>
        <v>0</v>
      </c>
      <c r="BQ46" s="156">
        <f t="shared" si="21"/>
        <v>0</v>
      </c>
      <c r="BR46" s="156">
        <f t="shared" si="22"/>
        <v>0</v>
      </c>
      <c r="BS46" s="228">
        <f t="shared" si="42"/>
        <v>0</v>
      </c>
      <c r="BT46" s="156">
        <f t="shared" si="23"/>
        <v>0</v>
      </c>
      <c r="BU46" s="160">
        <f t="shared" si="43"/>
        <v>0</v>
      </c>
      <c r="BV46" s="160">
        <f t="shared" si="24"/>
        <v>0</v>
      </c>
      <c r="BW46" s="153"/>
      <c r="BX46" s="158">
        <f t="shared" si="25"/>
        <v>0</v>
      </c>
      <c r="BY46" s="286">
        <f t="shared" si="44"/>
        <v>0</v>
      </c>
      <c r="CA46"/>
    </row>
    <row r="47" spans="2:79" ht="15.75" customHeight="1">
      <c r="F47" s="73">
        <v>1</v>
      </c>
      <c r="G47">
        <v>0</v>
      </c>
      <c r="H47" t="s">
        <v>162</v>
      </c>
      <c r="K47" t="s">
        <v>163</v>
      </c>
      <c r="V47" s="58">
        <f t="shared" ref="V47:V56" si="45">IF(W47=1,DATE(YEAR($F$18)+(MONTH($F$18)&gt;=4),4,0),EOMONTH(V46,12))</f>
        <v>56704</v>
      </c>
      <c r="W47" s="26">
        <v>31</v>
      </c>
      <c r="X47" s="282" t="str">
        <f t="shared" si="27"/>
        <v>-</v>
      </c>
      <c r="Y47" s="161">
        <f t="shared" si="0"/>
        <v>0</v>
      </c>
      <c r="Z47" s="159">
        <f t="shared" si="1"/>
        <v>0</v>
      </c>
      <c r="AA47" s="159">
        <f t="shared" si="2"/>
        <v>0</v>
      </c>
      <c r="AB47" s="159">
        <f t="shared" ref="AB47:AB56" si="46">IF(X47="維持管理・運営期間",$F$56,0)</f>
        <v>0</v>
      </c>
      <c r="AC47" s="160">
        <f t="shared" ref="AC47:AC56" si="47">SUM(Y47:Z47,AB47)</f>
        <v>0</v>
      </c>
      <c r="AD47" s="161">
        <f t="shared" si="4"/>
        <v>0</v>
      </c>
      <c r="AE47" s="159">
        <f t="shared" si="5"/>
        <v>0</v>
      </c>
      <c r="AF47" s="159">
        <f t="shared" ref="AF47:AF56" si="48">IF(AND($W47&gt;0,$W47&lt;=$O$16),$E$45,0)</f>
        <v>0</v>
      </c>
      <c r="AG47" s="159">
        <f>IF(AND(SUM($AA$16:AA46)&gt;0,SUM($AG$16:AG46)&lt;$O$62,$W47&gt;=$O$65),$O$64,0)</f>
        <v>0</v>
      </c>
      <c r="AH47" s="156">
        <f>IF(SUM($AA$17:$AA46)&gt;0,($O$62-SUM($AG$17:$AG46))*$F$65,0)</f>
        <v>0</v>
      </c>
      <c r="AI47" s="160">
        <f t="shared" ref="AI47:AI56" si="49">SUM(AD47:AF47)</f>
        <v>0</v>
      </c>
      <c r="AJ47" s="156">
        <f t="shared" ref="AJ47:AJ56" si="50">AC47-AI47</f>
        <v>0</v>
      </c>
      <c r="AK47" s="158">
        <f>(SUM($P$31,$P$51)-SUM($AU$17:AU46))*$O$109</f>
        <v>0</v>
      </c>
      <c r="AL47" s="163"/>
      <c r="AM47" s="157">
        <f t="shared" ref="AM47:AM56" si="51">AJ47*$BF47</f>
        <v>0</v>
      </c>
      <c r="AN47" s="164"/>
      <c r="AO47" s="155">
        <f t="shared" si="9"/>
        <v>0</v>
      </c>
      <c r="AP47" s="156">
        <f t="shared" si="10"/>
        <v>0</v>
      </c>
      <c r="AQ47" s="156">
        <f t="shared" si="11"/>
        <v>0</v>
      </c>
      <c r="AR47" s="159">
        <f t="shared" ref="AR47:AR56" si="52">IF($W47&lt;$O$16,IF(W47=$F$16,$U$92,$U$93),0)</f>
        <v>0</v>
      </c>
      <c r="AS47" s="160">
        <f t="shared" ref="AS47:AS56" si="53">SUM(AO47:AP47,AR47)</f>
        <v>0</v>
      </c>
      <c r="AT47" s="159">
        <f t="shared" ref="AT47:AT56" si="54">IF(W47=$F$16,$P$30,0)</f>
        <v>0</v>
      </c>
      <c r="AU47" s="159">
        <f t="shared" si="14"/>
        <v>0</v>
      </c>
      <c r="AV47" s="159">
        <f t="shared" si="15"/>
        <v>0</v>
      </c>
      <c r="AW47" s="159">
        <f t="shared" ref="AW47:AW56" si="55">IF(AND(W47&gt;$F$16,W47&lt;=SUM($F$16:$F$17)),$P$43,0)</f>
        <v>0</v>
      </c>
      <c r="AX47" s="159">
        <f t="shared" si="32"/>
        <v>0</v>
      </c>
      <c r="AY47" s="159">
        <f t="shared" si="16"/>
        <v>0</v>
      </c>
      <c r="AZ47" s="159">
        <f>IF(AND(SUM($AQ$16:AQ46)&gt;0,SUM($AZ$16:AZ46)&lt;$P$62,$W47&gt;=$P$65),$P$64,0)</f>
        <v>0</v>
      </c>
      <c r="BA47" s="159">
        <f>IF(SUM($AQ$17:$AQ46)&gt;0,($P$62-SUM($AZ$17:$AZ46))*$F$65,0)</f>
        <v>0</v>
      </c>
      <c r="BB47" s="160">
        <f t="shared" ref="BB47:BB56" si="56">SUM(AT47:AY47)</f>
        <v>0</v>
      </c>
      <c r="BC47" s="156">
        <f t="shared" ref="BC47:BC56" si="57">AS47-BB47</f>
        <v>0</v>
      </c>
      <c r="BD47" s="157">
        <f t="shared" ref="BD47:BD56" si="58">BC47*$BF47</f>
        <v>0</v>
      </c>
      <c r="BE47" s="166"/>
      <c r="BF47" s="47">
        <f t="shared" si="35"/>
        <v>0.34942554800501552</v>
      </c>
      <c r="BH47" s="155">
        <f t="shared" ref="BH47:BH56" si="59">AT47</f>
        <v>0</v>
      </c>
      <c r="BI47" s="155">
        <f t="shared" ref="BI47:BI56" si="60">AU47</f>
        <v>0</v>
      </c>
      <c r="BJ47" s="156">
        <f t="shared" ref="BJ47:BJ56" si="61">AV47</f>
        <v>0</v>
      </c>
      <c r="BK47" s="156">
        <f t="shared" ref="BK47:BK56" si="62">AW47</f>
        <v>0</v>
      </c>
      <c r="BL47" s="156">
        <f t="shared" ref="BL47:BL56" si="63">AY47</f>
        <v>0</v>
      </c>
      <c r="BM47" s="159">
        <f t="shared" ref="BM47:BM56" si="64">IF($W47&gt;$F$16,$F$56,0)</f>
        <v>0</v>
      </c>
      <c r="BN47" s="160">
        <f t="shared" ref="BN47:BN56" si="65">SUM(BH47:BM47)</f>
        <v>0</v>
      </c>
      <c r="BO47" s="156">
        <f t="shared" si="19"/>
        <v>0</v>
      </c>
      <c r="BP47" s="156">
        <f t="shared" ref="BP47:BP56" si="66">IF(AND(W47&gt;$F$16,W47&lt;=SUM($F$16:$F$17)),$P$41,0)</f>
        <v>0</v>
      </c>
      <c r="BQ47" s="156">
        <f t="shared" si="21"/>
        <v>0</v>
      </c>
      <c r="BR47" s="156">
        <f t="shared" ref="BR47:BR56" si="67">IF($W47&lt;=$O$16,$F$105,0)</f>
        <v>0</v>
      </c>
      <c r="BS47" s="228">
        <f t="shared" si="42"/>
        <v>0</v>
      </c>
      <c r="BT47" s="156">
        <f t="shared" ref="BT47:BT56" si="68">IF($W47&lt;$O$16,IF(W47=$F$16,$P$93,$P$94),0)</f>
        <v>0</v>
      </c>
      <c r="BU47" s="160">
        <f t="shared" ref="BU47:BU56" si="69">SUM(BO47:BP47,BR47:BT47)</f>
        <v>0</v>
      </c>
      <c r="BV47" s="160">
        <f t="shared" ref="BV47:BV56" si="70">BN47-BU47</f>
        <v>0</v>
      </c>
      <c r="BW47" s="153"/>
      <c r="BX47" s="158">
        <f t="shared" si="25"/>
        <v>0</v>
      </c>
      <c r="BY47" s="286">
        <f t="shared" si="44"/>
        <v>0</v>
      </c>
      <c r="CA47"/>
    </row>
    <row r="48" spans="2:79" ht="15.75" customHeight="1">
      <c r="G48">
        <v>1</v>
      </c>
      <c r="H48" t="s">
        <v>161</v>
      </c>
      <c r="I48" s="19"/>
      <c r="M48" t="s">
        <v>164</v>
      </c>
      <c r="N48" s="19" t="s">
        <v>8</v>
      </c>
      <c r="O48" s="53"/>
      <c r="P48" s="121">
        <f>F104</f>
        <v>0</v>
      </c>
      <c r="V48" s="58">
        <f t="shared" si="45"/>
        <v>57070</v>
      </c>
      <c r="W48" s="26">
        <v>32</v>
      </c>
      <c r="X48" s="282" t="str">
        <f t="shared" si="27"/>
        <v>-</v>
      </c>
      <c r="Y48" s="161">
        <f t="shared" si="0"/>
        <v>0</v>
      </c>
      <c r="Z48" s="159">
        <f t="shared" si="1"/>
        <v>0</v>
      </c>
      <c r="AA48" s="159">
        <f t="shared" si="2"/>
        <v>0</v>
      </c>
      <c r="AB48" s="159">
        <f t="shared" si="46"/>
        <v>0</v>
      </c>
      <c r="AC48" s="160">
        <f t="shared" si="47"/>
        <v>0</v>
      </c>
      <c r="AD48" s="161">
        <f t="shared" si="4"/>
        <v>0</v>
      </c>
      <c r="AE48" s="159">
        <f t="shared" si="5"/>
        <v>0</v>
      </c>
      <c r="AF48" s="159">
        <f t="shared" si="48"/>
        <v>0</v>
      </c>
      <c r="AG48" s="159">
        <f>IF(AND(SUM($AA$16:AA47)&gt;0,SUM($AG$16:AG47)&lt;$O$62,$W48&gt;=$O$65),$O$64,0)</f>
        <v>0</v>
      </c>
      <c r="AH48" s="156">
        <f>IF(SUM($AA$17:$AA47)&gt;0,($O$62-SUM($AG$17:$AG47))*$F$65,0)</f>
        <v>0</v>
      </c>
      <c r="AI48" s="160">
        <f t="shared" si="49"/>
        <v>0</v>
      </c>
      <c r="AJ48" s="156">
        <f t="shared" si="50"/>
        <v>0</v>
      </c>
      <c r="AK48" s="158">
        <f>(SUM($P$31,$P$51)-SUM($AU$17:AU47))*$O$109</f>
        <v>0</v>
      </c>
      <c r="AL48" s="163"/>
      <c r="AM48" s="157">
        <f t="shared" si="51"/>
        <v>0</v>
      </c>
      <c r="AN48" s="164"/>
      <c r="AO48" s="155">
        <f t="shared" si="9"/>
        <v>0</v>
      </c>
      <c r="AP48" s="156">
        <f t="shared" si="10"/>
        <v>0</v>
      </c>
      <c r="AQ48" s="156">
        <f t="shared" si="11"/>
        <v>0</v>
      </c>
      <c r="AR48" s="159">
        <f t="shared" si="52"/>
        <v>0</v>
      </c>
      <c r="AS48" s="160">
        <f t="shared" si="53"/>
        <v>0</v>
      </c>
      <c r="AT48" s="159">
        <f t="shared" si="54"/>
        <v>0</v>
      </c>
      <c r="AU48" s="159">
        <f t="shared" si="14"/>
        <v>0</v>
      </c>
      <c r="AV48" s="159">
        <f t="shared" si="15"/>
        <v>0</v>
      </c>
      <c r="AW48" s="159">
        <f t="shared" si="55"/>
        <v>0</v>
      </c>
      <c r="AX48" s="159">
        <f t="shared" si="32"/>
        <v>0</v>
      </c>
      <c r="AY48" s="159">
        <f t="shared" si="16"/>
        <v>0</v>
      </c>
      <c r="AZ48" s="159">
        <f>IF(AND(SUM($AQ$16:AQ47)&gt;0,SUM($AZ$16:AZ47)&lt;$P$62,$W48&gt;=$P$65),$P$64,0)</f>
        <v>0</v>
      </c>
      <c r="BA48" s="159">
        <f>IF(SUM($AQ$17:$AQ47)&gt;0,($P$62-SUM($AZ$17:$AZ47))*$F$65,0)</f>
        <v>0</v>
      </c>
      <c r="BB48" s="160">
        <f t="shared" si="56"/>
        <v>0</v>
      </c>
      <c r="BC48" s="156">
        <f t="shared" si="57"/>
        <v>0</v>
      </c>
      <c r="BD48" s="157">
        <f t="shared" si="58"/>
        <v>0</v>
      </c>
      <c r="BE48" s="166"/>
      <c r="BF48" s="47">
        <f t="shared" si="35"/>
        <v>0.33777240019817839</v>
      </c>
      <c r="BH48" s="155">
        <f t="shared" si="59"/>
        <v>0</v>
      </c>
      <c r="BI48" s="155">
        <f t="shared" si="60"/>
        <v>0</v>
      </c>
      <c r="BJ48" s="156">
        <f t="shared" si="61"/>
        <v>0</v>
      </c>
      <c r="BK48" s="156">
        <f t="shared" si="62"/>
        <v>0</v>
      </c>
      <c r="BL48" s="156">
        <f t="shared" si="63"/>
        <v>0</v>
      </c>
      <c r="BM48" s="159">
        <f t="shared" si="64"/>
        <v>0</v>
      </c>
      <c r="BN48" s="160">
        <f t="shared" si="65"/>
        <v>0</v>
      </c>
      <c r="BO48" s="156">
        <f t="shared" si="19"/>
        <v>0</v>
      </c>
      <c r="BP48" s="156">
        <f t="shared" si="66"/>
        <v>0</v>
      </c>
      <c r="BQ48" s="156">
        <f t="shared" si="21"/>
        <v>0</v>
      </c>
      <c r="BR48" s="156">
        <f t="shared" si="67"/>
        <v>0</v>
      </c>
      <c r="BS48" s="228">
        <f t="shared" si="42"/>
        <v>0</v>
      </c>
      <c r="BT48" s="156">
        <f t="shared" si="68"/>
        <v>0</v>
      </c>
      <c r="BU48" s="160">
        <f t="shared" si="69"/>
        <v>0</v>
      </c>
      <c r="BV48" s="160">
        <f t="shared" si="70"/>
        <v>0</v>
      </c>
      <c r="BW48" s="153"/>
      <c r="BX48" s="158">
        <f t="shared" si="25"/>
        <v>0</v>
      </c>
      <c r="BY48" s="286">
        <f t="shared" si="44"/>
        <v>0</v>
      </c>
    </row>
    <row r="49" spans="1:77" ht="15.75" customHeight="1">
      <c r="B49" s="93" t="s">
        <v>216</v>
      </c>
      <c r="M49" t="s">
        <v>169</v>
      </c>
      <c r="N49" s="19" t="s">
        <v>8</v>
      </c>
      <c r="O49" s="122"/>
      <c r="P49" s="123">
        <f>F105*$F$16</f>
        <v>0</v>
      </c>
      <c r="V49" s="58">
        <f t="shared" si="45"/>
        <v>57435</v>
      </c>
      <c r="W49" s="26">
        <v>33</v>
      </c>
      <c r="X49" s="282" t="str">
        <f t="shared" si="27"/>
        <v>-</v>
      </c>
      <c r="Y49" s="161">
        <f t="shared" si="0"/>
        <v>0</v>
      </c>
      <c r="Z49" s="159">
        <f t="shared" si="1"/>
        <v>0</v>
      </c>
      <c r="AA49" s="159">
        <f t="shared" si="2"/>
        <v>0</v>
      </c>
      <c r="AB49" s="159">
        <f t="shared" si="46"/>
        <v>0</v>
      </c>
      <c r="AC49" s="160">
        <f t="shared" si="47"/>
        <v>0</v>
      </c>
      <c r="AD49" s="161">
        <f t="shared" si="4"/>
        <v>0</v>
      </c>
      <c r="AE49" s="159">
        <f t="shared" si="5"/>
        <v>0</v>
      </c>
      <c r="AF49" s="159">
        <f t="shared" si="48"/>
        <v>0</v>
      </c>
      <c r="AG49" s="159">
        <f>IF(AND(SUM($AA$16:AA48)&gt;0,SUM($AG$16:AG48)&lt;$O$62,$W49&gt;=$O$65),$O$64,0)</f>
        <v>0</v>
      </c>
      <c r="AH49" s="156">
        <f>IF(SUM($AA$17:$AA48)&gt;0,($O$62-SUM($AG$17:$AG48))*$F$65,0)</f>
        <v>0</v>
      </c>
      <c r="AI49" s="160">
        <f t="shared" si="49"/>
        <v>0</v>
      </c>
      <c r="AJ49" s="156">
        <f t="shared" si="50"/>
        <v>0</v>
      </c>
      <c r="AK49" s="158">
        <f>(SUM($P$31,$P$51)-SUM($AU$17:AU48))*$O$109</f>
        <v>0</v>
      </c>
      <c r="AL49" s="163"/>
      <c r="AM49" s="157">
        <f t="shared" si="51"/>
        <v>0</v>
      </c>
      <c r="AN49" s="164"/>
      <c r="AO49" s="155">
        <f t="shared" si="9"/>
        <v>0</v>
      </c>
      <c r="AP49" s="156">
        <f t="shared" si="10"/>
        <v>0</v>
      </c>
      <c r="AQ49" s="156">
        <f t="shared" si="11"/>
        <v>0</v>
      </c>
      <c r="AR49" s="159">
        <f t="shared" si="52"/>
        <v>0</v>
      </c>
      <c r="AS49" s="160">
        <f t="shared" si="53"/>
        <v>0</v>
      </c>
      <c r="AT49" s="159">
        <f t="shared" si="54"/>
        <v>0</v>
      </c>
      <c r="AU49" s="159">
        <f t="shared" si="14"/>
        <v>0</v>
      </c>
      <c r="AV49" s="159">
        <f t="shared" si="15"/>
        <v>0</v>
      </c>
      <c r="AW49" s="159">
        <f t="shared" si="55"/>
        <v>0</v>
      </c>
      <c r="AX49" s="159">
        <f t="shared" si="32"/>
        <v>0</v>
      </c>
      <c r="AY49" s="159">
        <f t="shared" si="16"/>
        <v>0</v>
      </c>
      <c r="AZ49" s="159">
        <f>IF(AND(SUM($AQ$16:AQ48)&gt;0,SUM($AZ$16:AZ48)&lt;$P$62,$W49&gt;=$P$65),$P$64,0)</f>
        <v>0</v>
      </c>
      <c r="BA49" s="159">
        <f>IF(SUM($AQ$17:$AQ48)&gt;0,($P$62-SUM($AZ$17:$AZ48))*$F$65,0)</f>
        <v>0</v>
      </c>
      <c r="BB49" s="160">
        <f t="shared" si="56"/>
        <v>0</v>
      </c>
      <c r="BC49" s="156">
        <f t="shared" si="57"/>
        <v>0</v>
      </c>
      <c r="BD49" s="157">
        <f t="shared" si="58"/>
        <v>0</v>
      </c>
      <c r="BE49" s="166"/>
      <c r="BF49" s="47">
        <f t="shared" si="35"/>
        <v>0.32650787839359924</v>
      </c>
      <c r="BH49" s="155">
        <f t="shared" si="59"/>
        <v>0</v>
      </c>
      <c r="BI49" s="155">
        <f t="shared" si="60"/>
        <v>0</v>
      </c>
      <c r="BJ49" s="156">
        <f t="shared" si="61"/>
        <v>0</v>
      </c>
      <c r="BK49" s="156">
        <f t="shared" si="62"/>
        <v>0</v>
      </c>
      <c r="BL49" s="156">
        <f t="shared" si="63"/>
        <v>0</v>
      </c>
      <c r="BM49" s="159">
        <f t="shared" si="64"/>
        <v>0</v>
      </c>
      <c r="BN49" s="160">
        <f t="shared" si="65"/>
        <v>0</v>
      </c>
      <c r="BO49" s="156">
        <f t="shared" si="19"/>
        <v>0</v>
      </c>
      <c r="BP49" s="156">
        <f t="shared" si="66"/>
        <v>0</v>
      </c>
      <c r="BQ49" s="156">
        <f t="shared" si="21"/>
        <v>0</v>
      </c>
      <c r="BR49" s="156">
        <f t="shared" si="67"/>
        <v>0</v>
      </c>
      <c r="BS49" s="228">
        <f t="shared" si="42"/>
        <v>0</v>
      </c>
      <c r="BT49" s="156">
        <f t="shared" si="68"/>
        <v>0</v>
      </c>
      <c r="BU49" s="160">
        <f t="shared" si="69"/>
        <v>0</v>
      </c>
      <c r="BV49" s="160">
        <f t="shared" si="70"/>
        <v>0</v>
      </c>
      <c r="BW49" s="153"/>
      <c r="BX49" s="158">
        <f t="shared" si="25"/>
        <v>0</v>
      </c>
      <c r="BY49" s="286">
        <f t="shared" si="44"/>
        <v>0</v>
      </c>
    </row>
    <row r="50" spans="1:77" ht="15.75" customHeight="1" thickBot="1">
      <c r="C50" s="56" t="s">
        <v>115</v>
      </c>
      <c r="D50" t="s">
        <v>6</v>
      </c>
      <c r="F50" s="268">
        <v>0.95</v>
      </c>
      <c r="H50" s="56" t="s">
        <v>108</v>
      </c>
      <c r="M50" t="s">
        <v>171</v>
      </c>
      <c r="N50" s="19" t="s">
        <v>8</v>
      </c>
      <c r="O50" s="122"/>
      <c r="P50" s="123">
        <f>SUM(P82,P86)+P92</f>
        <v>0</v>
      </c>
      <c r="Q50" t="s">
        <v>172</v>
      </c>
      <c r="V50" s="58">
        <f t="shared" si="45"/>
        <v>57800</v>
      </c>
      <c r="W50" s="26">
        <v>34</v>
      </c>
      <c r="X50" s="282" t="str">
        <f t="shared" si="27"/>
        <v>-</v>
      </c>
      <c r="Y50" s="161">
        <f t="shared" si="0"/>
        <v>0</v>
      </c>
      <c r="Z50" s="159">
        <f t="shared" si="1"/>
        <v>0</v>
      </c>
      <c r="AA50" s="159">
        <f t="shared" si="2"/>
        <v>0</v>
      </c>
      <c r="AB50" s="159">
        <f t="shared" si="46"/>
        <v>0</v>
      </c>
      <c r="AC50" s="160">
        <f t="shared" si="47"/>
        <v>0</v>
      </c>
      <c r="AD50" s="161">
        <f t="shared" si="4"/>
        <v>0</v>
      </c>
      <c r="AE50" s="159">
        <f t="shared" si="5"/>
        <v>0</v>
      </c>
      <c r="AF50" s="159">
        <f t="shared" si="48"/>
        <v>0</v>
      </c>
      <c r="AG50" s="159">
        <f>IF(AND(SUM($AA$16:AA49)&gt;0,SUM($AG$16:AG49)&lt;$O$62,$W50&gt;=$O$65),$O$64,0)</f>
        <v>0</v>
      </c>
      <c r="AH50" s="156">
        <f>IF(SUM($AA$17:$AA49)&gt;0,($O$62-SUM($AG$17:$AG49))*$F$65,0)</f>
        <v>0</v>
      </c>
      <c r="AI50" s="160">
        <f t="shared" si="49"/>
        <v>0</v>
      </c>
      <c r="AJ50" s="156">
        <f t="shared" si="50"/>
        <v>0</v>
      </c>
      <c r="AK50" s="158">
        <f>(SUM($P$31,$P$51)-SUM($AU$17:AU49))*$O$109</f>
        <v>0</v>
      </c>
      <c r="AL50" s="163"/>
      <c r="AM50" s="157">
        <f t="shared" si="51"/>
        <v>0</v>
      </c>
      <c r="AN50" s="164"/>
      <c r="AO50" s="155">
        <f t="shared" si="9"/>
        <v>0</v>
      </c>
      <c r="AP50" s="156">
        <f t="shared" si="10"/>
        <v>0</v>
      </c>
      <c r="AQ50" s="156">
        <f t="shared" si="11"/>
        <v>0</v>
      </c>
      <c r="AR50" s="159">
        <f t="shared" si="52"/>
        <v>0</v>
      </c>
      <c r="AS50" s="160">
        <f t="shared" si="53"/>
        <v>0</v>
      </c>
      <c r="AT50" s="159">
        <f t="shared" si="54"/>
        <v>0</v>
      </c>
      <c r="AU50" s="159">
        <f t="shared" si="14"/>
        <v>0</v>
      </c>
      <c r="AV50" s="159">
        <f t="shared" si="15"/>
        <v>0</v>
      </c>
      <c r="AW50" s="159">
        <f t="shared" si="55"/>
        <v>0</v>
      </c>
      <c r="AX50" s="159">
        <f t="shared" si="32"/>
        <v>0</v>
      </c>
      <c r="AY50" s="159">
        <f t="shared" si="16"/>
        <v>0</v>
      </c>
      <c r="AZ50" s="159">
        <f>IF(AND(SUM($AQ$16:AQ49)&gt;0,SUM($AZ$16:AZ49)&lt;$P$62,$W50&gt;=$P$65),$P$64,0)</f>
        <v>0</v>
      </c>
      <c r="BA50" s="159">
        <f>IF(SUM($AQ$17:$AQ49)&gt;0,($P$62-SUM($AZ$17:$AZ49))*$F$65,0)</f>
        <v>0</v>
      </c>
      <c r="BB50" s="160">
        <f t="shared" si="56"/>
        <v>0</v>
      </c>
      <c r="BC50" s="156">
        <f t="shared" si="57"/>
        <v>0</v>
      </c>
      <c r="BD50" s="157">
        <f t="shared" si="58"/>
        <v>0</v>
      </c>
      <c r="BE50" s="166"/>
      <c r="BF50" s="47">
        <f t="shared" si="35"/>
        <v>0.31561902213011045</v>
      </c>
      <c r="BH50" s="155">
        <f t="shared" si="59"/>
        <v>0</v>
      </c>
      <c r="BI50" s="155">
        <f t="shared" si="60"/>
        <v>0</v>
      </c>
      <c r="BJ50" s="156">
        <f t="shared" si="61"/>
        <v>0</v>
      </c>
      <c r="BK50" s="156">
        <f t="shared" si="62"/>
        <v>0</v>
      </c>
      <c r="BL50" s="156">
        <f t="shared" si="63"/>
        <v>0</v>
      </c>
      <c r="BM50" s="159">
        <f t="shared" si="64"/>
        <v>0</v>
      </c>
      <c r="BN50" s="160">
        <f t="shared" si="65"/>
        <v>0</v>
      </c>
      <c r="BO50" s="156">
        <f t="shared" si="19"/>
        <v>0</v>
      </c>
      <c r="BP50" s="156">
        <f t="shared" si="66"/>
        <v>0</v>
      </c>
      <c r="BQ50" s="156">
        <f t="shared" si="21"/>
        <v>0</v>
      </c>
      <c r="BR50" s="156">
        <f t="shared" si="67"/>
        <v>0</v>
      </c>
      <c r="BS50" s="228">
        <f t="shared" si="42"/>
        <v>0</v>
      </c>
      <c r="BT50" s="156">
        <f t="shared" si="68"/>
        <v>0</v>
      </c>
      <c r="BU50" s="160">
        <f t="shared" si="69"/>
        <v>0</v>
      </c>
      <c r="BV50" s="160">
        <f t="shared" si="70"/>
        <v>0</v>
      </c>
      <c r="BW50" s="153"/>
      <c r="BX50" s="158">
        <f t="shared" si="25"/>
        <v>0</v>
      </c>
      <c r="BY50" s="286">
        <f t="shared" si="44"/>
        <v>0</v>
      </c>
    </row>
    <row r="51" spans="1:77" ht="15.75" customHeight="1" thickBot="1">
      <c r="B51" s="56"/>
      <c r="C51" s="56" t="s">
        <v>116</v>
      </c>
      <c r="D51" t="s">
        <v>6</v>
      </c>
      <c r="F51" s="199">
        <f>事業費用概算!H32</f>
        <v>0.1</v>
      </c>
      <c r="H51" s="150" t="s">
        <v>206</v>
      </c>
      <c r="K51" s="124" t="s">
        <v>176</v>
      </c>
      <c r="L51" s="125"/>
      <c r="M51" s="125"/>
      <c r="N51" s="126" t="s">
        <v>8</v>
      </c>
      <c r="O51" s="127"/>
      <c r="P51" s="128">
        <f>SUM(P48:P49)*$F$47</f>
        <v>0</v>
      </c>
      <c r="Q51" t="s">
        <v>166</v>
      </c>
      <c r="V51" s="58">
        <f t="shared" si="45"/>
        <v>58165</v>
      </c>
      <c r="W51" s="26">
        <v>35</v>
      </c>
      <c r="X51" s="282" t="str">
        <f t="shared" si="27"/>
        <v>-</v>
      </c>
      <c r="Y51" s="161">
        <f t="shared" si="0"/>
        <v>0</v>
      </c>
      <c r="Z51" s="159">
        <f t="shared" si="1"/>
        <v>0</v>
      </c>
      <c r="AA51" s="159">
        <f t="shared" si="2"/>
        <v>0</v>
      </c>
      <c r="AB51" s="159">
        <f t="shared" si="46"/>
        <v>0</v>
      </c>
      <c r="AC51" s="160">
        <f t="shared" si="47"/>
        <v>0</v>
      </c>
      <c r="AD51" s="161">
        <f t="shared" si="4"/>
        <v>0</v>
      </c>
      <c r="AE51" s="159">
        <f t="shared" si="5"/>
        <v>0</v>
      </c>
      <c r="AF51" s="159">
        <f t="shared" si="48"/>
        <v>0</v>
      </c>
      <c r="AG51" s="159">
        <f>IF(AND(SUM($AA$16:AA50)&gt;0,SUM($AG$16:AG50)&lt;$O$62,$W51&gt;=$O$65),$O$64,0)</f>
        <v>0</v>
      </c>
      <c r="AH51" s="156">
        <f>IF(SUM($AA$17:$AA50)&gt;0,($O$62-SUM($AG$17:$AG50))*$F$65,0)</f>
        <v>0</v>
      </c>
      <c r="AI51" s="160">
        <f t="shared" si="49"/>
        <v>0</v>
      </c>
      <c r="AJ51" s="156">
        <f t="shared" si="50"/>
        <v>0</v>
      </c>
      <c r="AK51" s="158">
        <f>(SUM($P$31,$P$51)-SUM($AU$17:AU50))*$O$109</f>
        <v>0</v>
      </c>
      <c r="AL51" s="163"/>
      <c r="AM51" s="157">
        <f t="shared" si="51"/>
        <v>0</v>
      </c>
      <c r="AN51" s="164"/>
      <c r="AO51" s="155">
        <f t="shared" si="9"/>
        <v>0</v>
      </c>
      <c r="AP51" s="156">
        <f t="shared" si="10"/>
        <v>0</v>
      </c>
      <c r="AQ51" s="156">
        <f t="shared" si="11"/>
        <v>0</v>
      </c>
      <c r="AR51" s="159">
        <f t="shared" si="52"/>
        <v>0</v>
      </c>
      <c r="AS51" s="160">
        <f t="shared" si="53"/>
        <v>0</v>
      </c>
      <c r="AT51" s="159">
        <f t="shared" si="54"/>
        <v>0</v>
      </c>
      <c r="AU51" s="159">
        <f t="shared" si="14"/>
        <v>0</v>
      </c>
      <c r="AV51" s="159">
        <f t="shared" si="15"/>
        <v>0</v>
      </c>
      <c r="AW51" s="159">
        <f t="shared" si="55"/>
        <v>0</v>
      </c>
      <c r="AX51" s="159">
        <f t="shared" si="32"/>
        <v>0</v>
      </c>
      <c r="AY51" s="159">
        <f t="shared" si="16"/>
        <v>0</v>
      </c>
      <c r="AZ51" s="159">
        <f>IF(AND(SUM($AQ$16:AQ50)&gt;0,SUM($AZ$16:AZ50)&lt;$P$62,$W51&gt;=$P$65),$P$64,0)</f>
        <v>0</v>
      </c>
      <c r="BA51" s="159">
        <f>IF(SUM($AQ$17:$AQ50)&gt;0,($P$62-SUM($AZ$17:$AZ50))*$F$65,0)</f>
        <v>0</v>
      </c>
      <c r="BB51" s="160">
        <f t="shared" si="56"/>
        <v>0</v>
      </c>
      <c r="BC51" s="156">
        <f t="shared" si="57"/>
        <v>0</v>
      </c>
      <c r="BD51" s="157">
        <f t="shared" si="58"/>
        <v>0</v>
      </c>
      <c r="BE51" s="166"/>
      <c r="BF51" s="47">
        <f t="shared" si="35"/>
        <v>0.30509330317072059</v>
      </c>
      <c r="BH51" s="155">
        <f t="shared" si="59"/>
        <v>0</v>
      </c>
      <c r="BI51" s="155">
        <f t="shared" si="60"/>
        <v>0</v>
      </c>
      <c r="BJ51" s="156">
        <f t="shared" si="61"/>
        <v>0</v>
      </c>
      <c r="BK51" s="156">
        <f t="shared" si="62"/>
        <v>0</v>
      </c>
      <c r="BL51" s="156">
        <f t="shared" si="63"/>
        <v>0</v>
      </c>
      <c r="BM51" s="159">
        <f t="shared" si="64"/>
        <v>0</v>
      </c>
      <c r="BN51" s="160">
        <f t="shared" si="65"/>
        <v>0</v>
      </c>
      <c r="BO51" s="156">
        <f t="shared" si="19"/>
        <v>0</v>
      </c>
      <c r="BP51" s="156">
        <f t="shared" si="66"/>
        <v>0</v>
      </c>
      <c r="BQ51" s="156">
        <f t="shared" si="21"/>
        <v>0</v>
      </c>
      <c r="BR51" s="156">
        <f t="shared" si="67"/>
        <v>0</v>
      </c>
      <c r="BS51" s="228">
        <f t="shared" si="42"/>
        <v>0</v>
      </c>
      <c r="BT51" s="156">
        <f t="shared" si="68"/>
        <v>0</v>
      </c>
      <c r="BU51" s="160">
        <f t="shared" si="69"/>
        <v>0</v>
      </c>
      <c r="BV51" s="160">
        <f t="shared" si="70"/>
        <v>0</v>
      </c>
      <c r="BW51" s="153"/>
      <c r="BX51" s="158">
        <f t="shared" si="25"/>
        <v>0</v>
      </c>
      <c r="BY51" s="286">
        <f t="shared" si="44"/>
        <v>0</v>
      </c>
    </row>
    <row r="52" spans="1:77" ht="15.75" customHeight="1">
      <c r="B52" s="56"/>
      <c r="C52" s="56" t="s">
        <v>117</v>
      </c>
      <c r="D52" t="s">
        <v>6</v>
      </c>
      <c r="F52" s="139"/>
      <c r="H52" s="150" t="s">
        <v>201</v>
      </c>
      <c r="M52" t="s">
        <v>165</v>
      </c>
      <c r="N52" s="19" t="s">
        <v>8</v>
      </c>
      <c r="O52" s="129"/>
      <c r="P52" s="130">
        <f>F105</f>
        <v>0</v>
      </c>
      <c r="V52" s="58">
        <f t="shared" si="45"/>
        <v>58531</v>
      </c>
      <c r="W52" s="26">
        <v>36</v>
      </c>
      <c r="X52" s="282" t="str">
        <f t="shared" si="27"/>
        <v>-</v>
      </c>
      <c r="Y52" s="161">
        <f t="shared" si="0"/>
        <v>0</v>
      </c>
      <c r="Z52" s="159">
        <f t="shared" si="1"/>
        <v>0</v>
      </c>
      <c r="AA52" s="159">
        <f t="shared" si="2"/>
        <v>0</v>
      </c>
      <c r="AB52" s="159">
        <f t="shared" si="46"/>
        <v>0</v>
      </c>
      <c r="AC52" s="160">
        <f t="shared" si="47"/>
        <v>0</v>
      </c>
      <c r="AD52" s="161">
        <f t="shared" si="4"/>
        <v>0</v>
      </c>
      <c r="AE52" s="159">
        <f t="shared" si="5"/>
        <v>0</v>
      </c>
      <c r="AF52" s="159">
        <f t="shared" si="48"/>
        <v>0</v>
      </c>
      <c r="AG52" s="159">
        <f>IF(AND(SUM($AA$16:AA51)&gt;0,SUM($AG$16:AG51)&lt;$O$62,$W52&gt;=$O$65),$O$64,0)</f>
        <v>0</v>
      </c>
      <c r="AH52" s="156">
        <f>IF(SUM($AA$17:$AA51)&gt;0,($O$62-SUM($AG$17:$AG51))*$F$65,0)</f>
        <v>0</v>
      </c>
      <c r="AI52" s="160">
        <f t="shared" si="49"/>
        <v>0</v>
      </c>
      <c r="AJ52" s="156">
        <f t="shared" si="50"/>
        <v>0</v>
      </c>
      <c r="AK52" s="158">
        <f>(SUM($P$31,$P$51)-SUM($AU$17:AU51))*$O$109</f>
        <v>0</v>
      </c>
      <c r="AL52" s="163"/>
      <c r="AM52" s="157">
        <f t="shared" si="51"/>
        <v>0</v>
      </c>
      <c r="AN52" s="164"/>
      <c r="AO52" s="155">
        <f t="shared" si="9"/>
        <v>0</v>
      </c>
      <c r="AP52" s="156">
        <f t="shared" si="10"/>
        <v>0</v>
      </c>
      <c r="AQ52" s="156">
        <f t="shared" si="11"/>
        <v>0</v>
      </c>
      <c r="AR52" s="159">
        <f t="shared" si="52"/>
        <v>0</v>
      </c>
      <c r="AS52" s="160">
        <f t="shared" si="53"/>
        <v>0</v>
      </c>
      <c r="AT52" s="159">
        <f t="shared" si="54"/>
        <v>0</v>
      </c>
      <c r="AU52" s="159">
        <f t="shared" si="14"/>
        <v>0</v>
      </c>
      <c r="AV52" s="159">
        <f t="shared" si="15"/>
        <v>0</v>
      </c>
      <c r="AW52" s="159">
        <f t="shared" si="55"/>
        <v>0</v>
      </c>
      <c r="AX52" s="159">
        <f t="shared" si="32"/>
        <v>0</v>
      </c>
      <c r="AY52" s="159">
        <f t="shared" si="16"/>
        <v>0</v>
      </c>
      <c r="AZ52" s="159">
        <f>IF(AND(SUM($AQ$16:AQ51)&gt;0,SUM($AZ$16:AZ51)&lt;$P$62,$W52&gt;=$P$65),$P$64,0)</f>
        <v>0</v>
      </c>
      <c r="BA52" s="159">
        <f>IF(SUM($AQ$17:$AQ51)&gt;0,($P$62-SUM($AZ$17:$AZ51))*$F$65,0)</f>
        <v>0</v>
      </c>
      <c r="BB52" s="160">
        <f t="shared" si="56"/>
        <v>0</v>
      </c>
      <c r="BC52" s="156">
        <f t="shared" si="57"/>
        <v>0</v>
      </c>
      <c r="BD52" s="157">
        <f t="shared" si="58"/>
        <v>0</v>
      </c>
      <c r="BE52" s="166"/>
      <c r="BF52" s="47">
        <f t="shared" si="35"/>
        <v>0.29491861108817846</v>
      </c>
      <c r="BH52" s="155">
        <f t="shared" si="59"/>
        <v>0</v>
      </c>
      <c r="BI52" s="155">
        <f t="shared" si="60"/>
        <v>0</v>
      </c>
      <c r="BJ52" s="156">
        <f t="shared" si="61"/>
        <v>0</v>
      </c>
      <c r="BK52" s="156">
        <f t="shared" si="62"/>
        <v>0</v>
      </c>
      <c r="BL52" s="156">
        <f t="shared" si="63"/>
        <v>0</v>
      </c>
      <c r="BM52" s="159">
        <f t="shared" si="64"/>
        <v>0</v>
      </c>
      <c r="BN52" s="160">
        <f t="shared" si="65"/>
        <v>0</v>
      </c>
      <c r="BO52" s="156">
        <f t="shared" si="19"/>
        <v>0</v>
      </c>
      <c r="BP52" s="156">
        <f t="shared" si="66"/>
        <v>0</v>
      </c>
      <c r="BQ52" s="156">
        <f t="shared" si="21"/>
        <v>0</v>
      </c>
      <c r="BR52" s="156">
        <f t="shared" si="67"/>
        <v>0</v>
      </c>
      <c r="BS52" s="228">
        <f t="shared" si="42"/>
        <v>0</v>
      </c>
      <c r="BT52" s="156">
        <f t="shared" si="68"/>
        <v>0</v>
      </c>
      <c r="BU52" s="160">
        <f t="shared" si="69"/>
        <v>0</v>
      </c>
      <c r="BV52" s="160">
        <f t="shared" si="70"/>
        <v>0</v>
      </c>
      <c r="BW52" s="153"/>
      <c r="BX52" s="158">
        <f t="shared" si="25"/>
        <v>0</v>
      </c>
      <c r="BY52" s="286">
        <f t="shared" si="44"/>
        <v>0</v>
      </c>
    </row>
    <row r="53" spans="1:77" ht="15.75" customHeight="1" thickBot="1">
      <c r="M53" t="s">
        <v>170</v>
      </c>
      <c r="N53" s="19" t="s">
        <v>8</v>
      </c>
      <c r="O53" s="129"/>
      <c r="P53" s="131">
        <f>P94</f>
        <v>0</v>
      </c>
      <c r="V53" s="58">
        <f t="shared" si="45"/>
        <v>58896</v>
      </c>
      <c r="W53" s="26">
        <v>37</v>
      </c>
      <c r="X53" s="282" t="str">
        <f t="shared" si="27"/>
        <v>-</v>
      </c>
      <c r="Y53" s="161">
        <f t="shared" si="0"/>
        <v>0</v>
      </c>
      <c r="Z53" s="159">
        <f t="shared" si="1"/>
        <v>0</v>
      </c>
      <c r="AA53" s="159">
        <f t="shared" si="2"/>
        <v>0</v>
      </c>
      <c r="AB53" s="159">
        <f t="shared" si="46"/>
        <v>0</v>
      </c>
      <c r="AC53" s="160">
        <f t="shared" si="47"/>
        <v>0</v>
      </c>
      <c r="AD53" s="161">
        <f t="shared" si="4"/>
        <v>0</v>
      </c>
      <c r="AE53" s="159">
        <f t="shared" si="5"/>
        <v>0</v>
      </c>
      <c r="AF53" s="159">
        <f t="shared" si="48"/>
        <v>0</v>
      </c>
      <c r="AG53" s="159">
        <f>IF(AND(SUM($AA$16:AA52)&gt;0,SUM($AG$16:AG52)&lt;$O$62,$W53&gt;=$O$65),$O$64,0)</f>
        <v>0</v>
      </c>
      <c r="AH53" s="156">
        <f>IF(SUM($AA$17:$AA52)&gt;0,($O$62-SUM($AG$17:$AG52))*$F$65,0)</f>
        <v>0</v>
      </c>
      <c r="AI53" s="160">
        <f t="shared" si="49"/>
        <v>0</v>
      </c>
      <c r="AJ53" s="156">
        <f t="shared" si="50"/>
        <v>0</v>
      </c>
      <c r="AK53" s="158">
        <f>(SUM($P$31,$P$51)-SUM($AU$17:AU52))*$O$109</f>
        <v>0</v>
      </c>
      <c r="AL53" s="163"/>
      <c r="AM53" s="157">
        <f t="shared" si="51"/>
        <v>0</v>
      </c>
      <c r="AN53" s="164"/>
      <c r="AO53" s="155">
        <f t="shared" si="9"/>
        <v>0</v>
      </c>
      <c r="AP53" s="156">
        <f t="shared" si="10"/>
        <v>0</v>
      </c>
      <c r="AQ53" s="156">
        <f t="shared" si="11"/>
        <v>0</v>
      </c>
      <c r="AR53" s="159">
        <f t="shared" si="52"/>
        <v>0</v>
      </c>
      <c r="AS53" s="160">
        <f t="shared" si="53"/>
        <v>0</v>
      </c>
      <c r="AT53" s="159">
        <f t="shared" si="54"/>
        <v>0</v>
      </c>
      <c r="AU53" s="159">
        <f t="shared" si="14"/>
        <v>0</v>
      </c>
      <c r="AV53" s="159">
        <f t="shared" si="15"/>
        <v>0</v>
      </c>
      <c r="AW53" s="159">
        <f t="shared" si="55"/>
        <v>0</v>
      </c>
      <c r="AX53" s="159">
        <f t="shared" si="32"/>
        <v>0</v>
      </c>
      <c r="AY53" s="159">
        <f t="shared" si="16"/>
        <v>0</v>
      </c>
      <c r="AZ53" s="159">
        <f>IF(AND(SUM($AQ$16:AQ52)&gt;0,SUM($AZ$16:AZ52)&lt;$P$62,$W53&gt;=$P$65),$P$64,0)</f>
        <v>0</v>
      </c>
      <c r="BA53" s="159">
        <f>IF(SUM($AQ$17:$AQ52)&gt;0,($P$62-SUM($AZ$17:$AZ52))*$F$65,0)</f>
        <v>0</v>
      </c>
      <c r="BB53" s="160">
        <f t="shared" si="56"/>
        <v>0</v>
      </c>
      <c r="BC53" s="156">
        <f t="shared" si="57"/>
        <v>0</v>
      </c>
      <c r="BD53" s="157">
        <f t="shared" si="58"/>
        <v>0</v>
      </c>
      <c r="BE53" s="166"/>
      <c r="BF53" s="47">
        <f t="shared" si="35"/>
        <v>0.28508323933125035</v>
      </c>
      <c r="BH53" s="155">
        <f t="shared" si="59"/>
        <v>0</v>
      </c>
      <c r="BI53" s="155">
        <f t="shared" si="60"/>
        <v>0</v>
      </c>
      <c r="BJ53" s="156">
        <f t="shared" si="61"/>
        <v>0</v>
      </c>
      <c r="BK53" s="156">
        <f t="shared" si="62"/>
        <v>0</v>
      </c>
      <c r="BL53" s="156">
        <f t="shared" si="63"/>
        <v>0</v>
      </c>
      <c r="BM53" s="159">
        <f t="shared" si="64"/>
        <v>0</v>
      </c>
      <c r="BN53" s="160">
        <f t="shared" si="65"/>
        <v>0</v>
      </c>
      <c r="BO53" s="156">
        <f t="shared" si="19"/>
        <v>0</v>
      </c>
      <c r="BP53" s="156">
        <f t="shared" si="66"/>
        <v>0</v>
      </c>
      <c r="BQ53" s="156">
        <f t="shared" si="21"/>
        <v>0</v>
      </c>
      <c r="BR53" s="156">
        <f t="shared" si="67"/>
        <v>0</v>
      </c>
      <c r="BS53" s="228">
        <f t="shared" si="42"/>
        <v>0</v>
      </c>
      <c r="BT53" s="156">
        <f t="shared" si="68"/>
        <v>0</v>
      </c>
      <c r="BU53" s="160">
        <f t="shared" si="69"/>
        <v>0</v>
      </c>
      <c r="BV53" s="160">
        <f t="shared" si="70"/>
        <v>0</v>
      </c>
      <c r="BW53" s="153"/>
      <c r="BX53" s="158">
        <f t="shared" si="25"/>
        <v>0</v>
      </c>
      <c r="BY53" s="286">
        <f t="shared" si="44"/>
        <v>0</v>
      </c>
    </row>
    <row r="54" spans="1:77" ht="15.75" customHeight="1" thickBot="1">
      <c r="A54" s="4" t="s">
        <v>119</v>
      </c>
      <c r="K54" s="124" t="s">
        <v>177</v>
      </c>
      <c r="L54" s="125"/>
      <c r="M54" s="125"/>
      <c r="N54" s="126" t="s">
        <v>8</v>
      </c>
      <c r="O54" s="127"/>
      <c r="P54" s="128">
        <f>SUM(P52:P53)*$F$47</f>
        <v>0</v>
      </c>
      <c r="Q54" t="s">
        <v>167</v>
      </c>
      <c r="V54" s="58">
        <f t="shared" si="45"/>
        <v>59261</v>
      </c>
      <c r="W54" s="26">
        <v>38</v>
      </c>
      <c r="X54" s="282" t="str">
        <f t="shared" si="27"/>
        <v>-</v>
      </c>
      <c r="Y54" s="161">
        <f t="shared" si="0"/>
        <v>0</v>
      </c>
      <c r="Z54" s="159">
        <f t="shared" si="1"/>
        <v>0</v>
      </c>
      <c r="AA54" s="159">
        <f t="shared" si="2"/>
        <v>0</v>
      </c>
      <c r="AB54" s="159">
        <f t="shared" si="46"/>
        <v>0</v>
      </c>
      <c r="AC54" s="160">
        <f t="shared" si="47"/>
        <v>0</v>
      </c>
      <c r="AD54" s="161">
        <f t="shared" si="4"/>
        <v>0</v>
      </c>
      <c r="AE54" s="159">
        <f t="shared" si="5"/>
        <v>0</v>
      </c>
      <c r="AF54" s="159">
        <f t="shared" si="48"/>
        <v>0</v>
      </c>
      <c r="AG54" s="159">
        <f>IF(AND(SUM($AA$16:AA53)&gt;0,SUM($AG$16:AG53)&lt;$O$62,$W54&gt;=$O$65),$O$64,0)</f>
        <v>0</v>
      </c>
      <c r="AH54" s="156">
        <f>IF(SUM($AA$17:$AA53)&gt;0,($O$62-SUM($AG$17:$AG53))*$F$65,0)</f>
        <v>0</v>
      </c>
      <c r="AI54" s="160">
        <f t="shared" si="49"/>
        <v>0</v>
      </c>
      <c r="AJ54" s="156">
        <f t="shared" si="50"/>
        <v>0</v>
      </c>
      <c r="AK54" s="158">
        <f>(SUM($P$31,$P$51)-SUM($AU$17:AU53))*$O$109</f>
        <v>0</v>
      </c>
      <c r="AL54" s="163"/>
      <c r="AM54" s="157">
        <f t="shared" si="51"/>
        <v>0</v>
      </c>
      <c r="AN54" s="164"/>
      <c r="AO54" s="155">
        <f t="shared" si="9"/>
        <v>0</v>
      </c>
      <c r="AP54" s="156">
        <f t="shared" si="10"/>
        <v>0</v>
      </c>
      <c r="AQ54" s="156">
        <f t="shared" si="11"/>
        <v>0</v>
      </c>
      <c r="AR54" s="159">
        <f t="shared" si="52"/>
        <v>0</v>
      </c>
      <c r="AS54" s="160">
        <f t="shared" si="53"/>
        <v>0</v>
      </c>
      <c r="AT54" s="159">
        <f t="shared" si="54"/>
        <v>0</v>
      </c>
      <c r="AU54" s="159">
        <f t="shared" si="14"/>
        <v>0</v>
      </c>
      <c r="AV54" s="159">
        <f t="shared" si="15"/>
        <v>0</v>
      </c>
      <c r="AW54" s="159">
        <f t="shared" si="55"/>
        <v>0</v>
      </c>
      <c r="AX54" s="159">
        <f t="shared" si="32"/>
        <v>0</v>
      </c>
      <c r="AY54" s="159">
        <f t="shared" si="16"/>
        <v>0</v>
      </c>
      <c r="AZ54" s="159">
        <f>IF(AND(SUM($AQ$16:AQ53)&gt;0,SUM($AZ$16:AZ53)&lt;$P$62,$W54&gt;=$P$65),$P$64,0)</f>
        <v>0</v>
      </c>
      <c r="BA54" s="159">
        <f>IF(SUM($AQ$17:$AQ53)&gt;0,($P$62-SUM($AZ$17:$AZ53))*$F$65,0)</f>
        <v>0</v>
      </c>
      <c r="BB54" s="160">
        <f t="shared" si="56"/>
        <v>0</v>
      </c>
      <c r="BC54" s="156">
        <f t="shared" si="57"/>
        <v>0</v>
      </c>
      <c r="BD54" s="157">
        <f t="shared" si="58"/>
        <v>0</v>
      </c>
      <c r="BE54" s="166"/>
      <c r="BF54" s="47">
        <f t="shared" si="35"/>
        <v>0.27557587175567944</v>
      </c>
      <c r="BH54" s="155">
        <f t="shared" si="59"/>
        <v>0</v>
      </c>
      <c r="BI54" s="155">
        <f t="shared" si="60"/>
        <v>0</v>
      </c>
      <c r="BJ54" s="156">
        <f t="shared" si="61"/>
        <v>0</v>
      </c>
      <c r="BK54" s="156">
        <f t="shared" si="62"/>
        <v>0</v>
      </c>
      <c r="BL54" s="156">
        <f t="shared" si="63"/>
        <v>0</v>
      </c>
      <c r="BM54" s="159">
        <f t="shared" si="64"/>
        <v>0</v>
      </c>
      <c r="BN54" s="160">
        <f t="shared" si="65"/>
        <v>0</v>
      </c>
      <c r="BO54" s="156">
        <f t="shared" si="19"/>
        <v>0</v>
      </c>
      <c r="BP54" s="156">
        <f t="shared" si="66"/>
        <v>0</v>
      </c>
      <c r="BQ54" s="156">
        <f t="shared" si="21"/>
        <v>0</v>
      </c>
      <c r="BR54" s="156">
        <f t="shared" si="67"/>
        <v>0</v>
      </c>
      <c r="BS54" s="228">
        <f t="shared" si="42"/>
        <v>0</v>
      </c>
      <c r="BT54" s="156">
        <f t="shared" si="68"/>
        <v>0</v>
      </c>
      <c r="BU54" s="160">
        <f t="shared" si="69"/>
        <v>0</v>
      </c>
      <c r="BV54" s="160">
        <f t="shared" si="70"/>
        <v>0</v>
      </c>
      <c r="BW54" s="153"/>
      <c r="BX54" s="158">
        <f t="shared" si="25"/>
        <v>0</v>
      </c>
      <c r="BY54" s="286">
        <f t="shared" si="44"/>
        <v>0</v>
      </c>
    </row>
    <row r="55" spans="1:77" ht="15.75" customHeight="1">
      <c r="V55" s="58">
        <f t="shared" si="45"/>
        <v>59626</v>
      </c>
      <c r="W55" s="26">
        <v>39</v>
      </c>
      <c r="X55" s="282" t="str">
        <f t="shared" si="27"/>
        <v>-</v>
      </c>
      <c r="Y55" s="161">
        <f t="shared" si="0"/>
        <v>0</v>
      </c>
      <c r="Z55" s="159">
        <f t="shared" si="1"/>
        <v>0</v>
      </c>
      <c r="AA55" s="159">
        <f t="shared" si="2"/>
        <v>0</v>
      </c>
      <c r="AB55" s="159">
        <f t="shared" si="46"/>
        <v>0</v>
      </c>
      <c r="AC55" s="160">
        <f t="shared" si="47"/>
        <v>0</v>
      </c>
      <c r="AD55" s="161">
        <f t="shared" si="4"/>
        <v>0</v>
      </c>
      <c r="AE55" s="159">
        <f t="shared" si="5"/>
        <v>0</v>
      </c>
      <c r="AF55" s="159">
        <f t="shared" si="48"/>
        <v>0</v>
      </c>
      <c r="AG55" s="159">
        <f>IF(AND(SUM($AA$16:AA54)&gt;0,SUM($AG$16:AG54)&lt;$O$62,$W55&gt;=$O$65),$O$64,0)</f>
        <v>0</v>
      </c>
      <c r="AH55" s="156">
        <f>IF(SUM($AA$17:$AA54)&gt;0,($O$62-SUM($AG$17:$AG54))*$F$65,0)</f>
        <v>0</v>
      </c>
      <c r="AI55" s="160">
        <f t="shared" si="49"/>
        <v>0</v>
      </c>
      <c r="AJ55" s="156">
        <f t="shared" si="50"/>
        <v>0</v>
      </c>
      <c r="AK55" s="158">
        <f>(SUM($P$31,$P$51)-SUM($AU$17:AU54))*$O$109</f>
        <v>0</v>
      </c>
      <c r="AL55" s="163"/>
      <c r="AM55" s="157">
        <f t="shared" si="51"/>
        <v>0</v>
      </c>
      <c r="AN55" s="164"/>
      <c r="AO55" s="155">
        <f t="shared" si="9"/>
        <v>0</v>
      </c>
      <c r="AP55" s="156">
        <f t="shared" si="10"/>
        <v>0</v>
      </c>
      <c r="AQ55" s="156">
        <f t="shared" si="11"/>
        <v>0</v>
      </c>
      <c r="AR55" s="159">
        <f t="shared" si="52"/>
        <v>0</v>
      </c>
      <c r="AS55" s="160">
        <f t="shared" si="53"/>
        <v>0</v>
      </c>
      <c r="AT55" s="159">
        <f t="shared" si="54"/>
        <v>0</v>
      </c>
      <c r="AU55" s="159">
        <f t="shared" si="14"/>
        <v>0</v>
      </c>
      <c r="AV55" s="159">
        <f t="shared" si="15"/>
        <v>0</v>
      </c>
      <c r="AW55" s="159">
        <f t="shared" si="55"/>
        <v>0</v>
      </c>
      <c r="AX55" s="159">
        <f t="shared" si="32"/>
        <v>0</v>
      </c>
      <c r="AY55" s="159">
        <f t="shared" si="16"/>
        <v>0</v>
      </c>
      <c r="AZ55" s="159">
        <f>IF(AND(SUM($AQ$16:AQ54)&gt;0,SUM($AZ$16:AZ54)&lt;$P$62,$W55&gt;=$P$65),$P$64,0)</f>
        <v>0</v>
      </c>
      <c r="BA55" s="159">
        <f>IF(SUM($AQ$17:$AQ54)&gt;0,($P$62-SUM($AZ$17:$AZ54))*$F$65,0)</f>
        <v>0</v>
      </c>
      <c r="BB55" s="160">
        <f t="shared" si="56"/>
        <v>0</v>
      </c>
      <c r="BC55" s="156">
        <f t="shared" si="57"/>
        <v>0</v>
      </c>
      <c r="BD55" s="157">
        <f t="shared" si="58"/>
        <v>0</v>
      </c>
      <c r="BE55" s="166"/>
      <c r="BF55" s="47">
        <f t="shared" si="35"/>
        <v>0.26638556960433007</v>
      </c>
      <c r="BH55" s="155">
        <f t="shared" si="59"/>
        <v>0</v>
      </c>
      <c r="BI55" s="155">
        <f t="shared" si="60"/>
        <v>0</v>
      </c>
      <c r="BJ55" s="156">
        <f t="shared" si="61"/>
        <v>0</v>
      </c>
      <c r="BK55" s="156">
        <f t="shared" si="62"/>
        <v>0</v>
      </c>
      <c r="BL55" s="156">
        <f t="shared" si="63"/>
        <v>0</v>
      </c>
      <c r="BM55" s="159">
        <f t="shared" si="64"/>
        <v>0</v>
      </c>
      <c r="BN55" s="160">
        <f t="shared" si="65"/>
        <v>0</v>
      </c>
      <c r="BO55" s="156">
        <f t="shared" si="19"/>
        <v>0</v>
      </c>
      <c r="BP55" s="156">
        <f t="shared" si="66"/>
        <v>0</v>
      </c>
      <c r="BQ55" s="156">
        <f t="shared" si="21"/>
        <v>0</v>
      </c>
      <c r="BR55" s="156">
        <f t="shared" si="67"/>
        <v>0</v>
      </c>
      <c r="BS55" s="228">
        <f t="shared" si="42"/>
        <v>0</v>
      </c>
      <c r="BT55" s="156">
        <f t="shared" si="68"/>
        <v>0</v>
      </c>
      <c r="BU55" s="160">
        <f t="shared" si="69"/>
        <v>0</v>
      </c>
      <c r="BV55" s="160">
        <f t="shared" si="70"/>
        <v>0</v>
      </c>
      <c r="BW55" s="153"/>
      <c r="BX55" s="158">
        <f t="shared" si="25"/>
        <v>0</v>
      </c>
      <c r="BY55" s="286">
        <f t="shared" si="44"/>
        <v>0</v>
      </c>
    </row>
    <row r="56" spans="1:77" ht="15.75" customHeight="1">
      <c r="C56" s="56" t="s">
        <v>77</v>
      </c>
      <c r="D56" t="s">
        <v>8</v>
      </c>
      <c r="F56" s="1">
        <v>0</v>
      </c>
      <c r="V56" s="58">
        <f t="shared" si="45"/>
        <v>59992</v>
      </c>
      <c r="W56" s="26">
        <v>40</v>
      </c>
      <c r="X56" s="282" t="str">
        <f t="shared" si="27"/>
        <v>-</v>
      </c>
      <c r="Y56" s="161">
        <f t="shared" si="0"/>
        <v>0</v>
      </c>
      <c r="Z56" s="159">
        <f t="shared" si="1"/>
        <v>0</v>
      </c>
      <c r="AA56" s="159">
        <f t="shared" si="2"/>
        <v>0</v>
      </c>
      <c r="AB56" s="159">
        <f t="shared" si="46"/>
        <v>0</v>
      </c>
      <c r="AC56" s="160">
        <f t="shared" si="47"/>
        <v>0</v>
      </c>
      <c r="AD56" s="161">
        <f t="shared" si="4"/>
        <v>0</v>
      </c>
      <c r="AE56" s="159">
        <f t="shared" si="5"/>
        <v>0</v>
      </c>
      <c r="AF56" s="159">
        <f t="shared" si="48"/>
        <v>0</v>
      </c>
      <c r="AG56" s="159">
        <f>IF(AND(SUM($AA$16:AA55)&gt;0,SUM($AG$16:AG55)&lt;$O$62,$W56&gt;=$O$65),$O$64,0)</f>
        <v>0</v>
      </c>
      <c r="AH56" s="156">
        <f>IF(SUM($AA$17:$AA55)&gt;0,($O$62-SUM($AG$17:$AG55))*$F$65,0)</f>
        <v>0</v>
      </c>
      <c r="AI56" s="160">
        <f t="shared" si="49"/>
        <v>0</v>
      </c>
      <c r="AJ56" s="156">
        <f t="shared" si="50"/>
        <v>0</v>
      </c>
      <c r="AK56" s="158">
        <f>(SUM($P$31,$P$51)-SUM($AU$17:AU55))*$O$109</f>
        <v>0</v>
      </c>
      <c r="AL56" s="163"/>
      <c r="AM56" s="157">
        <f t="shared" si="51"/>
        <v>0</v>
      </c>
      <c r="AN56" s="164"/>
      <c r="AO56" s="155">
        <f t="shared" si="9"/>
        <v>0</v>
      </c>
      <c r="AP56" s="156">
        <f t="shared" si="10"/>
        <v>0</v>
      </c>
      <c r="AQ56" s="156">
        <f t="shared" si="11"/>
        <v>0</v>
      </c>
      <c r="AR56" s="159">
        <f t="shared" si="52"/>
        <v>0</v>
      </c>
      <c r="AS56" s="160">
        <f t="shared" si="53"/>
        <v>0</v>
      </c>
      <c r="AT56" s="159">
        <f t="shared" si="54"/>
        <v>0</v>
      </c>
      <c r="AU56" s="159">
        <f t="shared" si="14"/>
        <v>0</v>
      </c>
      <c r="AV56" s="159">
        <f t="shared" si="15"/>
        <v>0</v>
      </c>
      <c r="AW56" s="159">
        <f t="shared" si="55"/>
        <v>0</v>
      </c>
      <c r="AX56" s="159">
        <f t="shared" si="32"/>
        <v>0</v>
      </c>
      <c r="AY56" s="159">
        <f t="shared" si="16"/>
        <v>0</v>
      </c>
      <c r="AZ56" s="159">
        <f>IF(AND(SUM($AQ$16:AQ55)&gt;0,SUM($AZ$16:AZ55)&lt;$P$62,$W56&gt;=$P$65),$P$64,0)</f>
        <v>0</v>
      </c>
      <c r="BA56" s="159">
        <f>IF(SUM($AQ$17:$AQ55)&gt;0,($P$62-SUM($AZ$17:$AZ55))*$F$65,0)</f>
        <v>0</v>
      </c>
      <c r="BB56" s="160">
        <f t="shared" si="56"/>
        <v>0</v>
      </c>
      <c r="BC56" s="156">
        <f t="shared" si="57"/>
        <v>0</v>
      </c>
      <c r="BD56" s="157">
        <f t="shared" si="58"/>
        <v>0</v>
      </c>
      <c r="BE56" s="166"/>
      <c r="BF56" s="47">
        <f t="shared" si="35"/>
        <v>0.25750175892153704</v>
      </c>
      <c r="BH56" s="155">
        <f t="shared" si="59"/>
        <v>0</v>
      </c>
      <c r="BI56" s="155">
        <f t="shared" si="60"/>
        <v>0</v>
      </c>
      <c r="BJ56" s="156">
        <f t="shared" si="61"/>
        <v>0</v>
      </c>
      <c r="BK56" s="156">
        <f t="shared" si="62"/>
        <v>0</v>
      </c>
      <c r="BL56" s="156">
        <f t="shared" si="63"/>
        <v>0</v>
      </c>
      <c r="BM56" s="159">
        <f t="shared" si="64"/>
        <v>0</v>
      </c>
      <c r="BN56" s="160">
        <f t="shared" si="65"/>
        <v>0</v>
      </c>
      <c r="BO56" s="156">
        <f t="shared" si="19"/>
        <v>0</v>
      </c>
      <c r="BP56" s="156">
        <f t="shared" si="66"/>
        <v>0</v>
      </c>
      <c r="BQ56" s="156">
        <f t="shared" si="21"/>
        <v>0</v>
      </c>
      <c r="BR56" s="156">
        <f t="shared" si="67"/>
        <v>0</v>
      </c>
      <c r="BS56" s="228">
        <f t="shared" si="42"/>
        <v>0</v>
      </c>
      <c r="BT56" s="156">
        <f t="shared" si="68"/>
        <v>0</v>
      </c>
      <c r="BU56" s="160">
        <f t="shared" si="69"/>
        <v>0</v>
      </c>
      <c r="BV56" s="160">
        <f t="shared" si="70"/>
        <v>0</v>
      </c>
      <c r="BW56" s="153"/>
      <c r="BX56" s="158">
        <f t="shared" si="25"/>
        <v>0</v>
      </c>
      <c r="BY56" s="286">
        <f t="shared" si="44"/>
        <v>0</v>
      </c>
    </row>
    <row r="57" spans="1:77" ht="15.75" customHeight="1" thickBot="1">
      <c r="Y57" s="165"/>
      <c r="Z57" s="165"/>
      <c r="AA57" s="153"/>
      <c r="AB57" s="153"/>
      <c r="AC57" s="153"/>
      <c r="AD57" s="153"/>
      <c r="AE57" s="153"/>
      <c r="AF57" s="153"/>
      <c r="AG57" s="153"/>
      <c r="AH57" s="153"/>
      <c r="AI57" s="153"/>
      <c r="AJ57" s="153"/>
      <c r="AK57" s="166"/>
      <c r="AL57" s="166"/>
      <c r="AM57" s="166"/>
      <c r="AN57" s="166"/>
      <c r="AO57" s="166"/>
      <c r="AP57" s="153"/>
      <c r="AQ57" s="153"/>
      <c r="AR57" s="153"/>
      <c r="AS57" s="153"/>
      <c r="AT57" s="153"/>
      <c r="AU57" s="153"/>
      <c r="AV57" s="153"/>
      <c r="AW57" s="153"/>
      <c r="AX57" s="153"/>
      <c r="AY57" s="153"/>
      <c r="AZ57" s="153"/>
      <c r="BA57" s="153"/>
      <c r="BB57" s="153"/>
      <c r="BC57" s="153"/>
      <c r="BD57" s="153"/>
      <c r="BE57" s="153"/>
      <c r="BH57" s="153"/>
      <c r="BI57" s="153"/>
      <c r="BJ57" s="153"/>
      <c r="BK57" s="153"/>
      <c r="BL57" s="153"/>
      <c r="BM57" s="153"/>
      <c r="BN57" s="153"/>
      <c r="BO57" s="153"/>
      <c r="BP57" s="153"/>
      <c r="BQ57" s="153"/>
      <c r="BR57" s="153"/>
      <c r="BS57" s="153"/>
      <c r="BT57" s="153"/>
      <c r="BU57" s="153"/>
      <c r="BV57" s="153"/>
      <c r="BW57" s="153"/>
      <c r="BX57" s="153"/>
    </row>
    <row r="58" spans="1:77" ht="15.75" customHeight="1" thickTop="1">
      <c r="A58" s="4" t="s">
        <v>120</v>
      </c>
      <c r="E58" t="s">
        <v>0</v>
      </c>
      <c r="F58" t="s">
        <v>1</v>
      </c>
      <c r="J58" s="4" t="s">
        <v>120</v>
      </c>
      <c r="X58" s="145" t="s">
        <v>97</v>
      </c>
      <c r="Y58" s="240">
        <f>SUM(Y16:Y56)</f>
        <v>1140</v>
      </c>
      <c r="Z58" s="240">
        <f t="shared" ref="Z58:AK58" si="71">SUM(Z16:Z56)</f>
        <v>384.75</v>
      </c>
      <c r="AA58" s="240">
        <f t="shared" si="71"/>
        <v>1282.5</v>
      </c>
      <c r="AB58" s="240">
        <f t="shared" si="71"/>
        <v>0</v>
      </c>
      <c r="AC58" s="240">
        <f t="shared" si="71"/>
        <v>1524.75</v>
      </c>
      <c r="AD58" s="240">
        <f t="shared" si="71"/>
        <v>2850</v>
      </c>
      <c r="AE58" s="240">
        <f t="shared" si="71"/>
        <v>0</v>
      </c>
      <c r="AF58" s="240">
        <f t="shared" si="71"/>
        <v>30</v>
      </c>
      <c r="AG58" s="240">
        <f t="shared" si="71"/>
        <v>1282.5</v>
      </c>
      <c r="AH58" s="240">
        <f t="shared" si="71"/>
        <v>259.70625000000001</v>
      </c>
      <c r="AI58" s="240">
        <f t="shared" si="71"/>
        <v>2880</v>
      </c>
      <c r="AJ58" s="241">
        <f t="shared" si="71"/>
        <v>-1355.25</v>
      </c>
      <c r="AK58" s="241">
        <f t="shared" si="71"/>
        <v>0</v>
      </c>
      <c r="AL58" s="240">
        <f>SUM(AJ58,AL16)</f>
        <v>-1355.25</v>
      </c>
      <c r="AM58" s="241">
        <f>SUM(AM16:AM56)</f>
        <v>-1225.0767138497936</v>
      </c>
      <c r="AN58" s="166"/>
      <c r="AO58" s="240">
        <f t="shared" ref="AO58:BD58" si="72">SUM(AO16:AO56)</f>
        <v>1080</v>
      </c>
      <c r="AP58" s="240">
        <f t="shared" si="72"/>
        <v>364.5</v>
      </c>
      <c r="AQ58" s="240">
        <f t="shared" si="72"/>
        <v>1215</v>
      </c>
      <c r="AR58" s="240">
        <f t="shared" si="72"/>
        <v>0</v>
      </c>
      <c r="AS58" s="240">
        <f t="shared" si="72"/>
        <v>1444.5</v>
      </c>
      <c r="AT58" s="240">
        <f t="shared" si="72"/>
        <v>2700</v>
      </c>
      <c r="AU58" s="240">
        <f t="shared" si="72"/>
        <v>0</v>
      </c>
      <c r="AV58" s="240">
        <f t="shared" si="72"/>
        <v>0</v>
      </c>
      <c r="AW58" s="240">
        <f t="shared" si="72"/>
        <v>0</v>
      </c>
      <c r="AX58" s="240">
        <f t="shared" si="72"/>
        <v>43</v>
      </c>
      <c r="AY58" s="240">
        <f t="shared" si="72"/>
        <v>0</v>
      </c>
      <c r="AZ58" s="240">
        <f t="shared" si="72"/>
        <v>1215</v>
      </c>
      <c r="BA58" s="240">
        <f t="shared" si="72"/>
        <v>246.03749999999997</v>
      </c>
      <c r="BB58" s="240">
        <f t="shared" si="72"/>
        <v>2743</v>
      </c>
      <c r="BC58" s="241">
        <f t="shared" si="72"/>
        <v>-1298.5</v>
      </c>
      <c r="BD58" s="241">
        <f t="shared" si="72"/>
        <v>-1175.0239512760127</v>
      </c>
      <c r="BH58" s="233">
        <f t="shared" ref="BH58:BV58" si="73">SUM(BH16:BH56)</f>
        <v>2700</v>
      </c>
      <c r="BI58" s="233">
        <f t="shared" si="73"/>
        <v>0</v>
      </c>
      <c r="BJ58" s="233">
        <f t="shared" si="73"/>
        <v>0</v>
      </c>
      <c r="BK58" s="233">
        <f t="shared" si="73"/>
        <v>0</v>
      </c>
      <c r="BL58" s="233">
        <f t="shared" si="73"/>
        <v>0</v>
      </c>
      <c r="BM58" s="233">
        <f t="shared" si="73"/>
        <v>0</v>
      </c>
      <c r="BN58" s="233">
        <f t="shared" si="73"/>
        <v>2700</v>
      </c>
      <c r="BO58" s="233">
        <f t="shared" si="73"/>
        <v>2700</v>
      </c>
      <c r="BP58" s="233">
        <f t="shared" si="73"/>
        <v>0</v>
      </c>
      <c r="BQ58" s="233">
        <f t="shared" si="73"/>
        <v>0</v>
      </c>
      <c r="BR58" s="233">
        <f t="shared" si="73"/>
        <v>0</v>
      </c>
      <c r="BS58" s="233">
        <f t="shared" si="73"/>
        <v>0</v>
      </c>
      <c r="BT58" s="233">
        <f t="shared" si="73"/>
        <v>0</v>
      </c>
      <c r="BU58" s="233">
        <f t="shared" si="73"/>
        <v>2700</v>
      </c>
      <c r="BV58" s="233">
        <f t="shared" si="73"/>
        <v>0</v>
      </c>
      <c r="BW58" s="166"/>
      <c r="BX58" s="168">
        <f>SUM(BX16:BX56)</f>
        <v>0</v>
      </c>
    </row>
    <row r="59" spans="1:77" ht="15.75" customHeight="1">
      <c r="B59" t="s">
        <v>132</v>
      </c>
      <c r="C59" t="s">
        <v>184</v>
      </c>
      <c r="D59" t="s">
        <v>8</v>
      </c>
      <c r="E59" s="21">
        <f>O62</f>
        <v>1282.5</v>
      </c>
      <c r="F59" s="21">
        <f>P62</f>
        <v>1215</v>
      </c>
      <c r="J59" s="4" t="s">
        <v>132</v>
      </c>
      <c r="O59" t="s">
        <v>0</v>
      </c>
      <c r="P59" t="s">
        <v>1</v>
      </c>
      <c r="AA59"/>
      <c r="AB59"/>
      <c r="AC59"/>
      <c r="AD59"/>
      <c r="AE59"/>
      <c r="AF59"/>
      <c r="AG59"/>
      <c r="AH59"/>
      <c r="AI59"/>
      <c r="AJ59"/>
      <c r="AK59"/>
      <c r="AL59" s="31" t="s">
        <v>130</v>
      </c>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row>
    <row r="60" spans="1:77" ht="15.75" customHeight="1">
      <c r="C60" t="s">
        <v>105</v>
      </c>
      <c r="D60" t="s">
        <v>6</v>
      </c>
      <c r="E60" s="141">
        <v>0.4</v>
      </c>
      <c r="F60" s="141">
        <v>0.4</v>
      </c>
      <c r="K60" t="s">
        <v>73</v>
      </c>
      <c r="N60" s="19" t="s">
        <v>8</v>
      </c>
      <c r="O60" s="52">
        <f>O29</f>
        <v>2850</v>
      </c>
      <c r="P60" s="52">
        <f>P29</f>
        <v>2700</v>
      </c>
      <c r="AK60" s="281"/>
      <c r="AL60" s="31" t="s">
        <v>131</v>
      </c>
      <c r="AM60" s="281"/>
      <c r="AN60" s="281"/>
      <c r="AO60" s="281"/>
      <c r="BF60" s="281"/>
      <c r="BY60"/>
    </row>
    <row r="61" spans="1:77" ht="15.75" customHeight="1">
      <c r="C61" t="s">
        <v>106</v>
      </c>
      <c r="D61" t="s">
        <v>6</v>
      </c>
      <c r="E61" s="3">
        <v>0.3</v>
      </c>
      <c r="F61" s="3">
        <v>0.3</v>
      </c>
      <c r="K61" t="s">
        <v>4</v>
      </c>
      <c r="N61" s="19" t="s">
        <v>8</v>
      </c>
      <c r="O61" s="52">
        <f>O60*$E$60</f>
        <v>1140</v>
      </c>
      <c r="P61" s="52">
        <f>P60*$F$60</f>
        <v>1080</v>
      </c>
      <c r="V61" s="19"/>
    </row>
    <row r="62" spans="1:77" ht="15.75" customHeight="1">
      <c r="C62" s="275" t="s">
        <v>107</v>
      </c>
      <c r="D62" t="s">
        <v>6</v>
      </c>
      <c r="E62" s="3">
        <v>0.75</v>
      </c>
      <c r="F62" s="3">
        <v>0.75</v>
      </c>
      <c r="J62" s="4"/>
      <c r="K62" t="s">
        <v>24</v>
      </c>
      <c r="N62" s="19" t="s">
        <v>8</v>
      </c>
      <c r="O62" s="52">
        <f>(O60-O61)*$E$62</f>
        <v>1282.5</v>
      </c>
      <c r="P62" s="52">
        <f>(P30-P61)*$F$62</f>
        <v>1215</v>
      </c>
      <c r="V62" s="19"/>
    </row>
    <row r="63" spans="1:77" ht="15.75" customHeight="1">
      <c r="C63" t="s">
        <v>256</v>
      </c>
      <c r="D63" t="s">
        <v>7</v>
      </c>
      <c r="E63" s="1">
        <v>3</v>
      </c>
      <c r="F63" s="1">
        <v>3</v>
      </c>
      <c r="K63" t="s">
        <v>23</v>
      </c>
      <c r="N63" s="19" t="s">
        <v>8</v>
      </c>
      <c r="O63" s="52">
        <f>O62*$F$61</f>
        <v>384.75</v>
      </c>
      <c r="P63" s="52">
        <f>P62*$F$61</f>
        <v>364.5</v>
      </c>
      <c r="V63" s="19"/>
    </row>
    <row r="64" spans="1:77" ht="15.75" customHeight="1">
      <c r="C64" s="56" t="s">
        <v>76</v>
      </c>
      <c r="D64" t="s">
        <v>7</v>
      </c>
      <c r="E64" s="1">
        <v>20</v>
      </c>
      <c r="F64" s="1">
        <v>20</v>
      </c>
      <c r="K64" t="s">
        <v>44</v>
      </c>
      <c r="N64" s="19" t="s">
        <v>8</v>
      </c>
      <c r="O64" s="52">
        <f>O62/$F$64</f>
        <v>64.125</v>
      </c>
      <c r="P64" s="52">
        <f>P62/$F$64</f>
        <v>60.75</v>
      </c>
      <c r="V64" s="19"/>
    </row>
    <row r="65" spans="1:23" ht="15.75" customHeight="1">
      <c r="C65" s="56" t="s">
        <v>109</v>
      </c>
      <c r="D65" t="s">
        <v>6</v>
      </c>
      <c r="E65" s="54">
        <v>1.4999999999999999E-2</v>
      </c>
      <c r="F65" s="54">
        <v>1.4999999999999999E-2</v>
      </c>
      <c r="K65" t="s">
        <v>259</v>
      </c>
      <c r="N65" s="19" t="s">
        <v>257</v>
      </c>
      <c r="O65" s="52">
        <f>$F$16+E63+1</f>
        <v>7</v>
      </c>
      <c r="P65" s="52">
        <f>$F$16+F63+1</f>
        <v>7</v>
      </c>
    </row>
    <row r="66" spans="1:23" ht="15.75" customHeight="1">
      <c r="B66" t="s">
        <v>133</v>
      </c>
      <c r="C66" s="19"/>
      <c r="J66" s="4" t="s">
        <v>133</v>
      </c>
      <c r="P66" t="s">
        <v>1</v>
      </c>
    </row>
    <row r="67" spans="1:23" ht="15.75" customHeight="1">
      <c r="E67" t="s">
        <v>0</v>
      </c>
      <c r="F67" t="s">
        <v>1</v>
      </c>
      <c r="K67" t="s">
        <v>18</v>
      </c>
      <c r="O67" s="19"/>
      <c r="P67" s="110">
        <f>SUM(F69:F70)</f>
        <v>0</v>
      </c>
    </row>
    <row r="68" spans="1:23" ht="15.75" customHeight="1">
      <c r="C68" t="s">
        <v>184</v>
      </c>
      <c r="D68" t="s">
        <v>8</v>
      </c>
      <c r="F68" s="21">
        <f>P31</f>
        <v>0</v>
      </c>
    </row>
    <row r="69" spans="1:23" ht="15.75" customHeight="1">
      <c r="C69" t="s">
        <v>10</v>
      </c>
      <c r="D69" t="s">
        <v>6</v>
      </c>
      <c r="F69" s="17"/>
      <c r="H69" s="72" t="s">
        <v>202</v>
      </c>
    </row>
    <row r="70" spans="1:23" ht="15.75" customHeight="1">
      <c r="C70" t="s">
        <v>11</v>
      </c>
      <c r="D70" t="s">
        <v>6</v>
      </c>
      <c r="F70" s="18"/>
      <c r="H70" s="150" t="s">
        <v>202</v>
      </c>
    </row>
    <row r="71" spans="1:23" ht="15.75" customHeight="1">
      <c r="C71" s="56" t="s">
        <v>110</v>
      </c>
      <c r="D71" t="s">
        <v>6</v>
      </c>
    </row>
    <row r="72" spans="1:23" ht="15.75" customHeight="1">
      <c r="A72" s="4" t="s">
        <v>112</v>
      </c>
      <c r="J72" s="4" t="s">
        <v>112</v>
      </c>
      <c r="O72" s="19"/>
      <c r="P72" s="19"/>
      <c r="R72" s="4" t="s">
        <v>147</v>
      </c>
      <c r="S72" s="4"/>
      <c r="T72" s="4"/>
    </row>
    <row r="73" spans="1:23" ht="15.75" customHeight="1">
      <c r="C73" t="s">
        <v>127</v>
      </c>
      <c r="O73" s="19"/>
      <c r="P73" s="5" t="s">
        <v>127</v>
      </c>
      <c r="U73" s="4" t="s">
        <v>139</v>
      </c>
    </row>
    <row r="74" spans="1:23" ht="15.75" customHeight="1">
      <c r="C74" s="2" t="s">
        <v>185</v>
      </c>
      <c r="D74" t="s">
        <v>8</v>
      </c>
      <c r="F74" s="269">
        <v>0</v>
      </c>
      <c r="H74" s="72" t="s">
        <v>203</v>
      </c>
      <c r="N74" t="s">
        <v>128</v>
      </c>
      <c r="O74" s="2"/>
      <c r="P74" s="20">
        <f>F74</f>
        <v>0</v>
      </c>
      <c r="S74" t="s">
        <v>148</v>
      </c>
      <c r="T74" s="19" t="s">
        <v>8</v>
      </c>
      <c r="U74" s="20">
        <f>F90</f>
        <v>0</v>
      </c>
    </row>
    <row r="75" spans="1:23" ht="15.75" customHeight="1">
      <c r="C75" s="2" t="s">
        <v>186</v>
      </c>
      <c r="D75" t="s">
        <v>6</v>
      </c>
      <c r="F75" s="135"/>
      <c r="H75" t="s">
        <v>134</v>
      </c>
      <c r="N75" t="s">
        <v>125</v>
      </c>
      <c r="O75" s="2"/>
      <c r="P75" s="115">
        <f>F75</f>
        <v>0</v>
      </c>
      <c r="S75" t="s">
        <v>125</v>
      </c>
      <c r="T75" t="s">
        <v>6</v>
      </c>
      <c r="U75" s="115">
        <f>F91</f>
        <v>0</v>
      </c>
    </row>
    <row r="76" spans="1:23" ht="15.75" customHeight="1">
      <c r="C76" t="s">
        <v>102</v>
      </c>
      <c r="N76" t="s">
        <v>126</v>
      </c>
      <c r="O76" s="2" t="s">
        <v>8</v>
      </c>
      <c r="P76" s="116">
        <f>P74*P75</f>
        <v>0</v>
      </c>
      <c r="S76" t="s">
        <v>126</v>
      </c>
      <c r="T76" s="19" t="s">
        <v>8</v>
      </c>
      <c r="U76" s="116">
        <f>U74*U75</f>
        <v>0</v>
      </c>
      <c r="W76" s="113"/>
    </row>
    <row r="77" spans="1:23" ht="15.75" customHeight="1">
      <c r="C77" s="2" t="s">
        <v>126</v>
      </c>
      <c r="D77" t="s">
        <v>8</v>
      </c>
      <c r="F77" s="135"/>
      <c r="H77" t="s">
        <v>143</v>
      </c>
      <c r="N77"/>
      <c r="O77" s="2"/>
      <c r="P77" s="104" t="s">
        <v>102</v>
      </c>
      <c r="T77" s="19"/>
      <c r="U77" s="4" t="s">
        <v>140</v>
      </c>
    </row>
    <row r="78" spans="1:23" ht="15.75" customHeight="1">
      <c r="N78" t="s">
        <v>126</v>
      </c>
      <c r="O78" s="2" t="s">
        <v>8</v>
      </c>
      <c r="P78" s="117">
        <f>F77</f>
        <v>0</v>
      </c>
      <c r="S78" t="s">
        <v>148</v>
      </c>
      <c r="T78" s="19" t="s">
        <v>8</v>
      </c>
      <c r="U78" s="20">
        <f>F93</f>
        <v>0</v>
      </c>
    </row>
    <row r="79" spans="1:23" ht="15.75" customHeight="1">
      <c r="C79" t="s">
        <v>135</v>
      </c>
      <c r="O79" s="2"/>
      <c r="P79" s="104" t="s">
        <v>135</v>
      </c>
      <c r="S79" t="s">
        <v>125</v>
      </c>
      <c r="T79" t="s">
        <v>6</v>
      </c>
      <c r="U79" s="115">
        <f>F94</f>
        <v>0</v>
      </c>
    </row>
    <row r="80" spans="1:23" ht="15.75" customHeight="1">
      <c r="C80" s="2" t="s">
        <v>148</v>
      </c>
      <c r="D80" t="s">
        <v>8</v>
      </c>
      <c r="F80" s="274">
        <v>0</v>
      </c>
      <c r="H80" t="s">
        <v>197</v>
      </c>
      <c r="N80" t="s">
        <v>142</v>
      </c>
      <c r="O80" s="2"/>
      <c r="P80" s="20">
        <f>F80</f>
        <v>0</v>
      </c>
      <c r="S80" t="s">
        <v>126</v>
      </c>
      <c r="T80" s="19" t="s">
        <v>8</v>
      </c>
      <c r="U80" s="116">
        <f>U78*U79</f>
        <v>0</v>
      </c>
    </row>
    <row r="81" spans="3:21" ht="15.75" customHeight="1">
      <c r="C81" s="2" t="s">
        <v>125</v>
      </c>
      <c r="D81" t="s">
        <v>6</v>
      </c>
      <c r="F81" s="135"/>
      <c r="H81" s="72" t="s">
        <v>138</v>
      </c>
      <c r="N81" t="s">
        <v>125</v>
      </c>
      <c r="O81" s="2"/>
      <c r="P81" s="115">
        <f>F81</f>
        <v>0</v>
      </c>
      <c r="T81" s="19"/>
      <c r="U81" s="4" t="s">
        <v>141</v>
      </c>
    </row>
    <row r="82" spans="3:21" ht="15.75" customHeight="1">
      <c r="C82" t="s">
        <v>136</v>
      </c>
      <c r="N82" t="s">
        <v>126</v>
      </c>
      <c r="O82" s="2" t="s">
        <v>8</v>
      </c>
      <c r="P82" s="116">
        <f>P80*P81</f>
        <v>0</v>
      </c>
      <c r="S82" t="s">
        <v>148</v>
      </c>
      <c r="T82" s="19" t="s">
        <v>8</v>
      </c>
      <c r="U82" s="20">
        <f>F96</f>
        <v>0</v>
      </c>
    </row>
    <row r="83" spans="3:21" ht="15.75" customHeight="1">
      <c r="C83" s="2" t="s">
        <v>148</v>
      </c>
      <c r="D83" t="s">
        <v>8</v>
      </c>
      <c r="F83" s="274">
        <v>0</v>
      </c>
      <c r="H83" t="s">
        <v>197</v>
      </c>
      <c r="O83" s="2"/>
      <c r="P83" s="104" t="s">
        <v>137</v>
      </c>
      <c r="S83" t="s">
        <v>125</v>
      </c>
      <c r="T83" t="s">
        <v>6</v>
      </c>
      <c r="U83" s="115">
        <f>F97</f>
        <v>0</v>
      </c>
    </row>
    <row r="84" spans="3:21">
      <c r="C84" s="2" t="s">
        <v>125</v>
      </c>
      <c r="D84" t="s">
        <v>6</v>
      </c>
      <c r="F84" s="135"/>
      <c r="H84" s="150" t="s">
        <v>138</v>
      </c>
      <c r="N84" t="s">
        <v>142</v>
      </c>
      <c r="O84" s="2"/>
      <c r="P84" s="20">
        <f>F83</f>
        <v>0</v>
      </c>
      <c r="S84" t="s">
        <v>126</v>
      </c>
      <c r="T84" s="19" t="s">
        <v>8</v>
      </c>
      <c r="U84" s="116">
        <f>U82*U83</f>
        <v>0</v>
      </c>
    </row>
    <row r="85" spans="3:21">
      <c r="C85" t="s">
        <v>137</v>
      </c>
      <c r="N85" t="s">
        <v>125</v>
      </c>
      <c r="O85" s="2"/>
      <c r="P85" s="115">
        <f>F87</f>
        <v>0</v>
      </c>
      <c r="T85" s="19"/>
    </row>
    <row r="86" spans="3:21">
      <c r="C86" s="2" t="s">
        <v>148</v>
      </c>
      <c r="D86" t="s">
        <v>8</v>
      </c>
      <c r="F86" s="274">
        <v>0</v>
      </c>
      <c r="H86" t="s">
        <v>198</v>
      </c>
      <c r="N86" t="s">
        <v>126</v>
      </c>
      <c r="O86" s="2" t="s">
        <v>8</v>
      </c>
      <c r="P86" s="116">
        <f>P84*P85</f>
        <v>0</v>
      </c>
      <c r="S86" t="s">
        <v>149</v>
      </c>
      <c r="T86" s="19" t="s">
        <v>8</v>
      </c>
      <c r="U86" s="118">
        <f>IF($F$13="都道府県",P82,0)</f>
        <v>0</v>
      </c>
    </row>
    <row r="87" spans="3:21">
      <c r="C87" s="2" t="s">
        <v>125</v>
      </c>
      <c r="D87" t="s">
        <v>6</v>
      </c>
      <c r="F87" s="135"/>
      <c r="H87" s="150" t="s">
        <v>138</v>
      </c>
      <c r="N87"/>
      <c r="O87" s="2"/>
      <c r="P87" s="148" t="s">
        <v>144</v>
      </c>
      <c r="S87" t="s">
        <v>157</v>
      </c>
      <c r="T87" s="19" t="s">
        <v>8</v>
      </c>
      <c r="U87" s="69">
        <f>IF($F$13="市町村",P90,0)</f>
        <v>0</v>
      </c>
    </row>
    <row r="88" spans="3:21">
      <c r="C88" t="s">
        <v>111</v>
      </c>
      <c r="N88" t="s">
        <v>142</v>
      </c>
      <c r="O88" s="2"/>
      <c r="P88" s="20">
        <f>F83</f>
        <v>0</v>
      </c>
    </row>
    <row r="89" spans="3:21">
      <c r="C89" t="s">
        <v>139</v>
      </c>
      <c r="N89" t="s">
        <v>125</v>
      </c>
      <c r="O89" s="2"/>
      <c r="P89" s="115">
        <f>F84</f>
        <v>0</v>
      </c>
    </row>
    <row r="90" spans="3:21">
      <c r="C90" s="2" t="s">
        <v>148</v>
      </c>
      <c r="D90" t="s">
        <v>8</v>
      </c>
      <c r="F90" s="1">
        <v>0</v>
      </c>
      <c r="H90" t="s">
        <v>187</v>
      </c>
      <c r="N90" t="s">
        <v>126</v>
      </c>
      <c r="O90" s="2" t="s">
        <v>8</v>
      </c>
      <c r="P90" s="116">
        <f>P88*P89</f>
        <v>0</v>
      </c>
    </row>
    <row r="91" spans="3:21">
      <c r="C91" s="2" t="s">
        <v>125</v>
      </c>
      <c r="D91" t="s">
        <v>6</v>
      </c>
      <c r="F91" s="1">
        <v>0</v>
      </c>
      <c r="H91" t="s">
        <v>145</v>
      </c>
      <c r="K91" s="4" t="s">
        <v>104</v>
      </c>
      <c r="N91"/>
      <c r="O91" s="2"/>
      <c r="R91" s="4" t="s">
        <v>158</v>
      </c>
      <c r="S91" s="4"/>
    </row>
    <row r="92" spans="3:21">
      <c r="C92" t="s">
        <v>188</v>
      </c>
      <c r="M92" t="s">
        <v>243</v>
      </c>
      <c r="N92" t="s">
        <v>126</v>
      </c>
      <c r="O92" s="2" t="s">
        <v>8</v>
      </c>
      <c r="P92" s="52">
        <f>P78</f>
        <v>0</v>
      </c>
      <c r="S92" t="s">
        <v>159</v>
      </c>
      <c r="T92" s="19" t="s">
        <v>8</v>
      </c>
      <c r="U92" s="69">
        <f>SUM(F99,U76,U80,U84,U86:U87)</f>
        <v>0</v>
      </c>
    </row>
    <row r="93" spans="3:21">
      <c r="C93" s="2" t="s">
        <v>200</v>
      </c>
      <c r="D93" t="s">
        <v>8</v>
      </c>
      <c r="F93" s="1">
        <v>0</v>
      </c>
      <c r="H93" t="s">
        <v>187</v>
      </c>
      <c r="M93" t="s">
        <v>159</v>
      </c>
      <c r="N93" t="s">
        <v>126</v>
      </c>
      <c r="O93" s="2" t="s">
        <v>8</v>
      </c>
      <c r="P93" s="119">
        <f>SUM(P76,P78,P82,P86,P90)</f>
        <v>0</v>
      </c>
      <c r="S93" t="s">
        <v>160</v>
      </c>
      <c r="T93" s="19" t="s">
        <v>8</v>
      </c>
      <c r="U93" s="69">
        <f>SUM(F100,U76,U80,U84)</f>
        <v>0</v>
      </c>
    </row>
    <row r="94" spans="3:21">
      <c r="C94" s="2" t="s">
        <v>125</v>
      </c>
      <c r="D94" t="s">
        <v>6</v>
      </c>
      <c r="F94" s="1">
        <v>0</v>
      </c>
      <c r="H94" t="s">
        <v>145</v>
      </c>
      <c r="M94" t="s">
        <v>160</v>
      </c>
      <c r="N94" t="s">
        <v>126</v>
      </c>
      <c r="O94" s="2" t="s">
        <v>8</v>
      </c>
      <c r="P94" s="120">
        <f>SUM(P76,P78,P90)</f>
        <v>0</v>
      </c>
    </row>
    <row r="95" spans="3:21">
      <c r="C95" s="56" t="s">
        <v>189</v>
      </c>
    </row>
    <row r="96" spans="3:21">
      <c r="C96" s="2" t="s">
        <v>200</v>
      </c>
      <c r="D96" t="s">
        <v>8</v>
      </c>
      <c r="F96" s="1">
        <v>0</v>
      </c>
      <c r="H96" t="s">
        <v>187</v>
      </c>
    </row>
    <row r="97" spans="1:16">
      <c r="C97" s="2" t="s">
        <v>125</v>
      </c>
      <c r="D97" t="s">
        <v>6</v>
      </c>
      <c r="F97" s="1">
        <v>0</v>
      </c>
      <c r="H97" t="s">
        <v>146</v>
      </c>
    </row>
    <row r="98" spans="1:16"/>
    <row r="99" spans="1:16">
      <c r="C99" t="s">
        <v>174</v>
      </c>
      <c r="D99" t="s">
        <v>8</v>
      </c>
      <c r="F99" s="111"/>
    </row>
    <row r="100" spans="1:16">
      <c r="C100" t="s">
        <v>175</v>
      </c>
      <c r="D100" t="s">
        <v>8</v>
      </c>
      <c r="F100" s="111"/>
    </row>
    <row r="101" spans="1:16"/>
    <row r="102" spans="1:16">
      <c r="A102" s="4" t="s">
        <v>113</v>
      </c>
      <c r="J102" s="4" t="s">
        <v>124</v>
      </c>
      <c r="O102" t="s">
        <v>0</v>
      </c>
      <c r="P102" t="s">
        <v>1</v>
      </c>
    </row>
    <row r="103" spans="1:16">
      <c r="C103" s="31"/>
      <c r="D103" s="31"/>
      <c r="E103" s="31"/>
      <c r="F103" s="31" t="s">
        <v>38</v>
      </c>
      <c r="K103" t="s">
        <v>196</v>
      </c>
      <c r="N103" s="19" t="s">
        <v>8</v>
      </c>
      <c r="O103" s="52">
        <f>F104</f>
        <v>0</v>
      </c>
      <c r="P103" s="53"/>
    </row>
    <row r="104" spans="1:16">
      <c r="C104" s="94" t="s">
        <v>164</v>
      </c>
      <c r="D104" t="s">
        <v>8</v>
      </c>
      <c r="F104" s="149"/>
      <c r="H104" s="150" t="s">
        <v>203</v>
      </c>
      <c r="K104" t="s">
        <v>67</v>
      </c>
      <c r="N104" s="19" t="s">
        <v>8</v>
      </c>
      <c r="O104" s="143">
        <f>F105*O16</f>
        <v>0</v>
      </c>
      <c r="P104" s="53"/>
    </row>
    <row r="105" spans="1:16">
      <c r="C105" s="94" t="s">
        <v>129</v>
      </c>
      <c r="D105" t="s">
        <v>8</v>
      </c>
      <c r="F105" s="149"/>
      <c r="H105" s="150" t="s">
        <v>203</v>
      </c>
      <c r="K105" t="s">
        <v>68</v>
      </c>
      <c r="N105" s="19" t="s">
        <v>8</v>
      </c>
      <c r="O105" s="52">
        <f>F106</f>
        <v>0</v>
      </c>
      <c r="P105" s="53"/>
    </row>
    <row r="106" spans="1:16">
      <c r="C106" s="94" t="s">
        <v>40</v>
      </c>
      <c r="D106" t="s">
        <v>8</v>
      </c>
      <c r="F106" s="149"/>
      <c r="H106" s="150" t="s">
        <v>203</v>
      </c>
      <c r="K106" t="s">
        <v>69</v>
      </c>
    </row>
    <row r="107" spans="1:16">
      <c r="C107" s="94"/>
      <c r="M107" t="s">
        <v>264</v>
      </c>
      <c r="N107" s="19" t="s">
        <v>6</v>
      </c>
      <c r="O107" s="70">
        <f>F65</f>
        <v>1.4999999999999999E-2</v>
      </c>
      <c r="P107" s="53"/>
    </row>
    <row r="108" spans="1:16">
      <c r="C108" s="94"/>
      <c r="M108" t="s">
        <v>79</v>
      </c>
      <c r="N108" s="19" t="s">
        <v>6</v>
      </c>
      <c r="O108" s="71">
        <f>P67</f>
        <v>0</v>
      </c>
      <c r="P108" s="53"/>
    </row>
    <row r="109" spans="1:16">
      <c r="C109" s="94"/>
      <c r="M109" t="s">
        <v>70</v>
      </c>
      <c r="N109" s="19" t="s">
        <v>6</v>
      </c>
      <c r="O109" s="70">
        <f>O108-O107</f>
        <v>-1.4999999999999999E-2</v>
      </c>
      <c r="P109" s="53"/>
    </row>
    <row r="110" spans="1:16">
      <c r="M110" s="95" t="s">
        <v>114</v>
      </c>
      <c r="N110" t="s">
        <v>8</v>
      </c>
      <c r="O110" s="143">
        <f>SUM(AK17:AK46)</f>
        <v>0</v>
      </c>
      <c r="P110" s="53"/>
    </row>
    <row r="111" spans="1:16"/>
    <row r="112" spans="1:16" s="264" customFormat="1" ht="15" customHeight="1" thickBot="1">
      <c r="B112" s="264" t="s">
        <v>252</v>
      </c>
      <c r="I112" s="265"/>
    </row>
    <row r="113" ht="19" hidden="1" thickTop="1"/>
  </sheetData>
  <phoneticPr fontId="2"/>
  <dataValidations count="2">
    <dataValidation type="list" allowBlank="1" showInputMessage="1" showErrorMessage="1" sqref="F13" xr:uid="{6081DBAB-46CB-468E-97C0-6559570DFC5D}">
      <formula1>$O$13:$Q$13</formula1>
    </dataValidation>
    <dataValidation type="list" allowBlank="1" showInputMessage="1" showErrorMessage="1" sqref="F47" xr:uid="{B0F11F58-2F9C-45CE-98F6-CDB91F044D12}">
      <formula1>$G$47:$G$48</formula1>
    </dataValidation>
  </dataValidations>
  <pageMargins left="0.23622047244094491" right="0.23622047244094491" top="0.74803149606299213" bottom="0.74803149606299213" header="0.31496062992125984" footer="0.31496062992125984"/>
  <pageSetup paperSize="8" scale="41" fitToWidth="0" orientation="landscape" r:id="rId1"/>
  <colBreaks count="2" manualBreakCount="2">
    <brk id="21" max="1048575" man="1"/>
    <brk id="58"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71C6-E77E-428C-91E9-2AE45E91AD3F}">
  <sheetPr>
    <tabColor rgb="FFFFC000"/>
    <pageSetUpPr fitToPage="1"/>
  </sheetPr>
  <dimension ref="A1:CM113"/>
  <sheetViews>
    <sheetView showGridLines="0" view="pageBreakPreview" topLeftCell="S10" zoomScale="70" zoomScaleNormal="70" zoomScaleSheetLayoutView="70" workbookViewId="0">
      <selection activeCell="AC19" sqref="AC19"/>
    </sheetView>
  </sheetViews>
  <sheetFormatPr baseColWidth="10" defaultColWidth="0" defaultRowHeight="18" zeroHeight="1" outlineLevelCol="1"/>
  <cols>
    <col min="1" max="1" width="4.83203125" customWidth="1"/>
    <col min="2" max="2" width="40.6640625" customWidth="1"/>
    <col min="3" max="3" width="40.1640625" bestFit="1" customWidth="1"/>
    <col min="4" max="4" width="7.33203125" customWidth="1"/>
    <col min="5" max="5" width="8.5" bestFit="1" customWidth="1"/>
    <col min="6" max="6" width="11.5" customWidth="1"/>
    <col min="7" max="7" width="2.5" customWidth="1"/>
    <col min="8" max="8" width="43.6640625" customWidth="1"/>
    <col min="9" max="9" width="1.6640625" customWidth="1"/>
    <col min="10" max="11" width="12.5" customWidth="1" outlineLevel="1"/>
    <col min="12" max="12" width="1.83203125" customWidth="1" outlineLevel="1"/>
    <col min="13" max="13" width="42.1640625" customWidth="1" outlineLevel="1"/>
    <col min="14" max="14" width="11.1640625" style="19" customWidth="1" outlineLevel="1"/>
    <col min="15" max="16" width="24.5" customWidth="1" outlineLevel="1"/>
    <col min="17" max="17" width="4.6640625" customWidth="1" outlineLevel="1"/>
    <col min="18" max="18" width="10" customWidth="1" outlineLevel="1"/>
    <col min="19" max="19" width="19.1640625" customWidth="1" outlineLevel="1"/>
    <col min="20" max="20" width="7.5" customWidth="1" outlineLevel="1"/>
    <col min="21" max="21" width="24.5" customWidth="1" outlineLevel="1"/>
    <col min="22" max="22" width="12" customWidth="1"/>
    <col min="23" max="23" width="9.6640625" customWidth="1"/>
    <col min="24" max="24" width="21.5" customWidth="1"/>
    <col min="25" max="26" width="10.83203125" customWidth="1"/>
    <col min="27" max="36" width="10.83203125" style="19" customWidth="1"/>
    <col min="37" max="38" width="10.83203125" style="31" customWidth="1"/>
    <col min="39" max="39" width="12" style="31" customWidth="1"/>
    <col min="40" max="40" width="1.6640625" style="31" customWidth="1"/>
    <col min="41" max="41" width="10.33203125" style="31" customWidth="1"/>
    <col min="42" max="45" width="10.33203125" style="19" customWidth="1"/>
    <col min="46" max="49" width="16" style="19" customWidth="1"/>
    <col min="50" max="54" width="10.6640625" style="19" customWidth="1"/>
    <col min="55" max="56" width="12" style="19" customWidth="1"/>
    <col min="57" max="57" width="1.6640625" style="19" customWidth="1"/>
    <col min="58" max="58" width="12" style="31" customWidth="1"/>
    <col min="59" max="59" width="1.5" style="19" customWidth="1"/>
    <col min="60" max="63" width="16" style="19" customWidth="1"/>
    <col min="64" max="70" width="12" style="19" customWidth="1"/>
    <col min="71" max="71" width="16.83203125" style="19" customWidth="1"/>
    <col min="72" max="74" width="12" style="19" customWidth="1"/>
    <col min="75" max="75" width="2.1640625" style="19" customWidth="1"/>
    <col min="76" max="76" width="12" style="19" customWidth="1"/>
    <col min="77" max="77" width="21" style="19" bestFit="1" customWidth="1"/>
    <col min="78" max="78" width="3.33203125" style="19" hidden="1" customWidth="1"/>
    <col min="79" max="79" width="0" style="19" hidden="1" customWidth="1"/>
    <col min="80" max="91" width="0" hidden="1" customWidth="1"/>
    <col min="92" max="16384" width="9" hidden="1"/>
  </cols>
  <sheetData>
    <row r="1" spans="1:79" ht="15.75" customHeight="1"/>
    <row r="2" spans="1:79">
      <c r="B2" s="4" t="s">
        <v>262</v>
      </c>
      <c r="Y2" s="242"/>
      <c r="Z2" s="242"/>
      <c r="AA2" s="33"/>
      <c r="AB2" s="33"/>
      <c r="AC2" s="33"/>
      <c r="AD2" s="33"/>
      <c r="AE2" s="33"/>
      <c r="AF2" s="33"/>
      <c r="AG2" s="33"/>
      <c r="AH2" s="33"/>
      <c r="AI2" s="33"/>
      <c r="AJ2" s="33"/>
      <c r="AK2" s="234"/>
      <c r="AL2" s="234"/>
      <c r="AM2" s="234"/>
      <c r="AO2" s="234"/>
      <c r="AP2" s="33"/>
      <c r="AQ2" s="33"/>
      <c r="AR2" s="33"/>
      <c r="AS2" s="33"/>
      <c r="AT2" s="33"/>
      <c r="AU2" s="33"/>
      <c r="AV2" s="33"/>
      <c r="AW2" s="33"/>
      <c r="AX2" s="33"/>
      <c r="AY2" s="33"/>
      <c r="AZ2" s="33"/>
      <c r="BA2" s="33"/>
      <c r="BB2" s="33"/>
      <c r="BC2" s="33"/>
      <c r="BD2" s="33"/>
      <c r="BH2" s="33"/>
      <c r="BI2" s="33"/>
      <c r="BJ2" s="33"/>
      <c r="BK2" s="33"/>
      <c r="BL2" s="33"/>
      <c r="BM2" s="33"/>
      <c r="BN2" s="33"/>
      <c r="BO2" s="33"/>
      <c r="BP2" s="33"/>
      <c r="BQ2" s="33"/>
      <c r="BR2" s="33"/>
      <c r="BS2" s="33"/>
      <c r="BT2" s="33"/>
      <c r="BU2" s="33"/>
      <c r="BV2" s="33"/>
    </row>
    <row r="3" spans="1:79">
      <c r="B3" s="270" t="s">
        <v>263</v>
      </c>
      <c r="Y3" s="242"/>
      <c r="Z3" s="242"/>
      <c r="AA3" s="33"/>
      <c r="AB3" s="33"/>
      <c r="AC3" s="33"/>
      <c r="AD3" s="33"/>
      <c r="AE3" s="33"/>
      <c r="AF3" s="33"/>
      <c r="AG3" s="33"/>
      <c r="AH3" s="33"/>
      <c r="AI3" s="33"/>
      <c r="AJ3" s="33"/>
      <c r="AK3" s="234"/>
      <c r="AL3" s="234"/>
      <c r="AM3" s="234"/>
      <c r="AO3" s="234"/>
      <c r="AP3" s="33"/>
      <c r="AQ3" s="33"/>
      <c r="AR3" s="33"/>
      <c r="AS3" s="33"/>
      <c r="AT3" s="33"/>
      <c r="AU3" s="33"/>
      <c r="AV3" s="33"/>
      <c r="AW3" s="33"/>
      <c r="AX3" s="33"/>
      <c r="AY3" s="33"/>
      <c r="AZ3" s="33"/>
      <c r="BA3" s="33"/>
      <c r="BB3" s="33"/>
      <c r="BC3" s="33"/>
      <c r="BD3" s="33"/>
      <c r="BH3" s="33"/>
      <c r="BI3" s="33"/>
      <c r="BJ3" s="33"/>
      <c r="BK3" s="33"/>
      <c r="BL3" s="33"/>
      <c r="BM3" s="33"/>
      <c r="BN3" s="33"/>
      <c r="BO3" s="33"/>
      <c r="BP3" s="33"/>
      <c r="BQ3" s="33"/>
      <c r="BR3" s="33"/>
      <c r="BS3" s="33"/>
      <c r="BT3" s="33"/>
      <c r="BU3" s="33"/>
      <c r="BV3" s="33"/>
    </row>
    <row r="4" spans="1:79">
      <c r="B4" s="271" t="s">
        <v>261</v>
      </c>
      <c r="Y4" s="242"/>
      <c r="Z4" s="242"/>
      <c r="AA4" s="33"/>
      <c r="AB4" s="33"/>
      <c r="AC4" s="33"/>
      <c r="AD4" s="33"/>
      <c r="AE4" s="33"/>
      <c r="AF4" s="33"/>
      <c r="AG4" s="33"/>
      <c r="AH4" s="33"/>
      <c r="AI4" s="33"/>
      <c r="AJ4" s="33"/>
      <c r="AK4" s="234"/>
      <c r="AL4" s="234"/>
      <c r="AM4" s="234"/>
      <c r="AO4" s="234"/>
      <c r="AP4" s="33"/>
      <c r="AQ4" s="33"/>
      <c r="AR4" s="33"/>
      <c r="AS4" s="33"/>
      <c r="AT4" s="33"/>
      <c r="AU4" s="33"/>
      <c r="AV4" s="33"/>
      <c r="AW4" s="33"/>
      <c r="AX4" s="33"/>
      <c r="AY4" s="33"/>
      <c r="AZ4" s="33"/>
      <c r="BA4" s="33"/>
      <c r="BB4" s="33"/>
      <c r="BC4" s="33"/>
      <c r="BD4" s="33"/>
      <c r="BH4" s="33"/>
      <c r="BI4" s="33"/>
      <c r="BJ4" s="33"/>
      <c r="BK4" s="33"/>
      <c r="BL4" s="33"/>
      <c r="BM4" s="33"/>
      <c r="BN4" s="33"/>
      <c r="BO4" s="33"/>
      <c r="BP4" s="33"/>
      <c r="BQ4" s="33"/>
      <c r="BR4" s="33"/>
      <c r="BS4" s="33"/>
      <c r="BT4" s="33"/>
      <c r="BU4" s="33"/>
      <c r="BV4" s="33"/>
    </row>
    <row r="5" spans="1:79" ht="15.75" customHeight="1">
      <c r="B5" s="272" t="s">
        <v>260</v>
      </c>
      <c r="Y5" s="242"/>
      <c r="Z5" s="242"/>
      <c r="AA5" s="33"/>
      <c r="AB5" s="33"/>
      <c r="AC5" s="33"/>
      <c r="AD5" s="33"/>
      <c r="AE5" s="33"/>
      <c r="AF5" s="33"/>
      <c r="AG5" s="33"/>
      <c r="AH5" s="33"/>
      <c r="AI5" s="33"/>
      <c r="AJ5" s="33"/>
      <c r="AK5" s="234"/>
      <c r="AL5" s="234"/>
      <c r="AM5" s="234"/>
      <c r="AO5" s="234"/>
      <c r="AP5" s="33"/>
      <c r="AQ5" s="33"/>
      <c r="AR5" s="33"/>
      <c r="AS5" s="33"/>
      <c r="AT5" s="33"/>
      <c r="AU5" s="33"/>
      <c r="AV5" s="33"/>
      <c r="AW5" s="33"/>
      <c r="AX5" s="33"/>
      <c r="AY5" s="33"/>
      <c r="AZ5" s="33"/>
      <c r="BA5" s="33"/>
      <c r="BB5" s="33"/>
      <c r="BC5" s="33"/>
      <c r="BD5" s="33"/>
      <c r="BH5" s="33"/>
      <c r="BI5" s="33"/>
      <c r="BJ5" s="33"/>
      <c r="BK5" s="33"/>
      <c r="BL5" s="33"/>
      <c r="BM5" s="33"/>
      <c r="BN5" s="33"/>
      <c r="BO5" s="33"/>
      <c r="BP5" s="33"/>
      <c r="BQ5" s="33"/>
      <c r="BR5" s="33"/>
      <c r="BS5" s="33"/>
      <c r="BT5" s="33"/>
      <c r="BU5" s="33"/>
      <c r="BV5" s="33"/>
    </row>
    <row r="6" spans="1:79" ht="15.75" customHeight="1">
      <c r="Y6" s="242"/>
      <c r="Z6" s="242"/>
      <c r="AA6" s="33"/>
      <c r="AB6" s="33"/>
      <c r="AC6" s="33"/>
      <c r="AD6" s="33"/>
      <c r="AE6" s="33"/>
      <c r="AF6" s="33"/>
      <c r="AG6" s="33"/>
      <c r="AH6" s="33"/>
      <c r="AI6" s="33"/>
      <c r="AJ6" s="33"/>
      <c r="AK6" s="234"/>
      <c r="AL6" s="234"/>
      <c r="AM6" s="234"/>
      <c r="AO6" s="234"/>
      <c r="AP6" s="33"/>
      <c r="AQ6" s="33"/>
      <c r="AR6" s="33"/>
      <c r="AS6" s="33"/>
      <c r="AT6" s="33"/>
      <c r="AU6" s="33"/>
      <c r="AV6" s="33"/>
      <c r="AW6" s="33"/>
      <c r="AX6" s="33"/>
      <c r="AY6" s="33"/>
      <c r="AZ6" s="33"/>
      <c r="BA6" s="33"/>
      <c r="BB6" s="33"/>
      <c r="BC6" s="33"/>
      <c r="BD6" s="33"/>
      <c r="BH6" s="33"/>
      <c r="BI6" s="33"/>
      <c r="BJ6" s="33"/>
      <c r="BK6" s="33"/>
      <c r="BL6" s="33"/>
      <c r="BM6" s="33"/>
      <c r="BN6" s="33"/>
      <c r="BO6" s="33"/>
      <c r="BP6" s="33"/>
      <c r="BQ6" s="33"/>
      <c r="BR6" s="33"/>
      <c r="BS6" s="33"/>
      <c r="BT6" s="33"/>
      <c r="BU6" s="33"/>
      <c r="BV6" s="33"/>
    </row>
    <row r="7" spans="1:79" s="4" customFormat="1" ht="15.75" customHeight="1">
      <c r="A7" s="25" t="s">
        <v>45</v>
      </c>
      <c r="B7" s="25"/>
      <c r="C7" s="25"/>
      <c r="D7" s="25"/>
      <c r="E7" s="25"/>
      <c r="F7" s="25"/>
      <c r="G7" s="25"/>
      <c r="H7" s="25"/>
      <c r="I7" s="25"/>
      <c r="J7" s="24" t="s">
        <v>46</v>
      </c>
      <c r="K7" s="24"/>
      <c r="L7" s="24"/>
      <c r="M7" s="24"/>
      <c r="N7" s="85"/>
      <c r="O7" s="24"/>
      <c r="P7" s="24"/>
      <c r="Q7" s="24"/>
      <c r="R7" s="24"/>
      <c r="S7" s="24"/>
      <c r="T7" s="24"/>
      <c r="U7" s="24"/>
      <c r="V7" s="22" t="s">
        <v>22</v>
      </c>
      <c r="W7" s="22"/>
      <c r="X7" s="22"/>
      <c r="Y7" s="22"/>
      <c r="Z7" s="22"/>
      <c r="AA7" s="23"/>
      <c r="AB7" s="23"/>
      <c r="AC7" s="23"/>
      <c r="AD7" s="23"/>
      <c r="AE7" s="23"/>
      <c r="AF7" s="23"/>
      <c r="AG7" s="23"/>
      <c r="AH7" s="23"/>
      <c r="AI7" s="23"/>
      <c r="AJ7" s="23"/>
      <c r="AK7" s="30"/>
      <c r="AL7" s="30"/>
      <c r="AM7" s="30"/>
      <c r="AN7" s="30"/>
      <c r="AO7" s="30"/>
      <c r="AP7" s="23"/>
      <c r="AQ7" s="23"/>
      <c r="AR7" s="23"/>
      <c r="AS7" s="23"/>
      <c r="AT7" s="23"/>
      <c r="AU7" s="23"/>
      <c r="AV7" s="23"/>
      <c r="AW7" s="23"/>
      <c r="AX7" s="23"/>
      <c r="AY7" s="23"/>
      <c r="AZ7" s="23"/>
      <c r="BA7" s="23"/>
      <c r="BB7" s="23"/>
      <c r="BC7" s="23"/>
      <c r="BD7" s="23"/>
      <c r="BE7" s="23"/>
      <c r="BF7" s="30"/>
      <c r="BG7" s="23"/>
      <c r="BH7" s="23"/>
      <c r="BI7" s="23"/>
      <c r="BJ7" s="23"/>
      <c r="BK7" s="23"/>
      <c r="BL7" s="23"/>
      <c r="BM7" s="23"/>
      <c r="BN7" s="23"/>
      <c r="BO7" s="23"/>
      <c r="BP7" s="23"/>
      <c r="BQ7" s="23"/>
      <c r="BR7" s="23"/>
      <c r="BS7" s="23"/>
      <c r="BT7" s="23"/>
      <c r="BU7" s="23"/>
      <c r="BV7" s="23"/>
      <c r="BW7" s="23"/>
      <c r="BX7" s="23"/>
      <c r="BY7" s="23"/>
      <c r="BZ7" s="23"/>
      <c r="CA7" s="23"/>
    </row>
    <row r="8" spans="1:79" s="4" customFormat="1" ht="15.75" customHeight="1">
      <c r="A8" s="257"/>
      <c r="B8" s="273" t="s">
        <v>266</v>
      </c>
      <c r="C8" s="257"/>
      <c r="D8" s="257"/>
      <c r="E8" s="257"/>
      <c r="F8" s="257"/>
      <c r="G8" s="257"/>
      <c r="H8" s="257"/>
      <c r="I8" s="257"/>
      <c r="N8" s="5"/>
      <c r="AA8" s="5"/>
      <c r="AB8" s="5"/>
      <c r="AC8" s="5"/>
      <c r="AD8" s="5"/>
      <c r="AE8" s="5"/>
      <c r="AF8" s="5"/>
      <c r="AG8" s="5"/>
      <c r="AH8" s="5"/>
      <c r="AI8" s="5"/>
      <c r="AJ8" s="5"/>
      <c r="AK8" s="260"/>
      <c r="AL8" s="260"/>
      <c r="AM8" s="260"/>
      <c r="AN8" s="260"/>
      <c r="AO8" s="260"/>
      <c r="AP8" s="5"/>
      <c r="AQ8" s="5"/>
      <c r="AR8" s="5"/>
      <c r="AS8" s="5"/>
      <c r="AT8" s="5"/>
      <c r="AU8" s="5"/>
      <c r="AV8" s="5"/>
      <c r="AW8" s="5"/>
      <c r="AX8" s="5"/>
      <c r="AY8" s="5"/>
      <c r="AZ8" s="5"/>
      <c r="BA8" s="5"/>
      <c r="BB8" s="5"/>
      <c r="BC8" s="5"/>
      <c r="BD8" s="5"/>
      <c r="BE8" s="5"/>
      <c r="BF8" s="260"/>
      <c r="BG8" s="5"/>
      <c r="BH8" s="5"/>
      <c r="BI8" s="5"/>
      <c r="BJ8" s="5"/>
      <c r="BK8" s="5"/>
      <c r="BL8" s="5"/>
      <c r="BM8" s="5"/>
      <c r="BN8" s="5"/>
      <c r="BO8" s="5"/>
      <c r="BP8" s="5"/>
      <c r="BQ8" s="5"/>
      <c r="BR8" s="5"/>
      <c r="BS8" s="5"/>
      <c r="BT8" s="5"/>
      <c r="BU8" s="5"/>
      <c r="BV8" s="5"/>
      <c r="BW8" s="5"/>
      <c r="BX8" s="5"/>
      <c r="BY8" s="5"/>
      <c r="BZ8" s="5"/>
      <c r="CA8" s="5"/>
    </row>
    <row r="9" spans="1:79" ht="15.75" customHeight="1" thickBot="1">
      <c r="W9" s="55" t="s">
        <v>15</v>
      </c>
      <c r="X9" s="50"/>
      <c r="Y9" s="50"/>
      <c r="AC9" s="8" t="s">
        <v>47</v>
      </c>
    </row>
    <row r="10" spans="1:79" ht="15.75" customHeight="1">
      <c r="D10" t="s">
        <v>19</v>
      </c>
      <c r="K10" s="19"/>
      <c r="L10" s="19"/>
      <c r="M10" s="19"/>
      <c r="N10" s="19" t="s">
        <v>19</v>
      </c>
      <c r="O10" s="19"/>
      <c r="P10" s="19"/>
      <c r="Q10" s="19" t="s">
        <v>20</v>
      </c>
      <c r="R10" s="19"/>
      <c r="S10" s="19"/>
      <c r="T10" s="19"/>
      <c r="U10" s="19"/>
      <c r="W10" s="10" t="s">
        <v>16</v>
      </c>
      <c r="X10" s="11" t="s">
        <v>245</v>
      </c>
      <c r="Y10" s="12" t="s">
        <v>6</v>
      </c>
      <c r="AC10" s="9" t="s">
        <v>17</v>
      </c>
      <c r="BQ10" s="5"/>
      <c r="BR10" s="5"/>
      <c r="BS10" s="5"/>
      <c r="BT10" s="5"/>
      <c r="BY10" s="5"/>
    </row>
    <row r="11" spans="1:79" ht="15.75" customHeight="1" thickBot="1">
      <c r="A11" s="4" t="s">
        <v>60</v>
      </c>
      <c r="J11" s="4" t="s">
        <v>60</v>
      </c>
      <c r="W11" s="173">
        <f>AL58-BC58</f>
        <v>-196.25</v>
      </c>
      <c r="X11" s="174">
        <f>AM58-BD58</f>
        <v>-176.05629562545801</v>
      </c>
      <c r="Y11" s="57">
        <f>X11/AM58</f>
        <v>0.14371042534324446</v>
      </c>
      <c r="AC11" s="167" t="str">
        <f>IFERROR(XIRR(BV17:BV56,V17:V56),"N/A")</f>
        <v>N/A</v>
      </c>
      <c r="AD11" s="56" t="s">
        <v>78</v>
      </c>
      <c r="BQ11" s="5"/>
      <c r="BR11" s="5"/>
      <c r="BS11" s="5"/>
      <c r="BT11" s="5"/>
      <c r="BY11" s="5"/>
    </row>
    <row r="12" spans="1:79" ht="15.75" customHeight="1">
      <c r="AA12"/>
      <c r="AB12"/>
      <c r="AC12"/>
      <c r="AD12"/>
    </row>
    <row r="13" spans="1:79" ht="15.75" customHeight="1">
      <c r="B13" t="s">
        <v>150</v>
      </c>
      <c r="F13" s="29" t="s">
        <v>153</v>
      </c>
      <c r="J13" t="s">
        <v>150</v>
      </c>
      <c r="O13" t="s">
        <v>151</v>
      </c>
      <c r="P13" t="s">
        <v>152</v>
      </c>
      <c r="Q13" t="s">
        <v>153</v>
      </c>
      <c r="V13" s="5" t="s">
        <v>244</v>
      </c>
      <c r="W13" s="5" t="s">
        <v>9</v>
      </c>
      <c r="X13" s="5" t="s">
        <v>3</v>
      </c>
      <c r="Y13" s="59" t="s">
        <v>0</v>
      </c>
      <c r="Z13" s="60"/>
      <c r="AA13" s="60"/>
      <c r="AB13" s="60"/>
      <c r="AC13" s="60"/>
      <c r="AD13" s="60"/>
      <c r="AE13" s="60"/>
      <c r="AF13" s="60"/>
      <c r="AG13" s="60"/>
      <c r="AH13" s="60"/>
      <c r="AI13" s="60"/>
      <c r="AJ13" s="103"/>
      <c r="AK13" s="146" t="s">
        <v>38</v>
      </c>
      <c r="AL13" s="147"/>
      <c r="AM13" s="96"/>
      <c r="AN13" s="32"/>
      <c r="AO13" s="208" t="s">
        <v>1</v>
      </c>
      <c r="AP13" s="209"/>
      <c r="AQ13" s="209"/>
      <c r="AR13" s="209"/>
      <c r="AS13" s="209"/>
      <c r="AT13" s="209"/>
      <c r="AU13" s="209"/>
      <c r="AV13" s="209"/>
      <c r="AW13" s="209"/>
      <c r="AX13" s="209"/>
      <c r="AY13" s="209"/>
      <c r="AZ13" s="209"/>
      <c r="BA13" s="209"/>
      <c r="BB13" s="209"/>
      <c r="BC13" s="210"/>
      <c r="BD13" s="211" t="s">
        <v>14</v>
      </c>
      <c r="BE13" s="33"/>
      <c r="BF13" s="19"/>
      <c r="BH13" s="65" t="s">
        <v>2</v>
      </c>
      <c r="BI13" s="66"/>
      <c r="BJ13" s="66"/>
      <c r="BK13" s="66"/>
      <c r="BL13" s="66"/>
      <c r="BM13" s="66"/>
      <c r="BN13" s="66"/>
      <c r="BO13" s="66"/>
      <c r="BP13" s="66"/>
      <c r="BQ13" s="66"/>
      <c r="BR13" s="66"/>
      <c r="BS13" s="66"/>
      <c r="BT13" s="66"/>
      <c r="BU13" s="66"/>
      <c r="BV13" s="136"/>
      <c r="BX13" s="84" t="s">
        <v>75</v>
      </c>
      <c r="BY13" s="84" t="s">
        <v>274</v>
      </c>
    </row>
    <row r="14" spans="1:79" ht="15.75" customHeight="1">
      <c r="B14" t="s">
        <v>154</v>
      </c>
      <c r="D14" t="s">
        <v>49</v>
      </c>
      <c r="F14" s="134" t="s">
        <v>52</v>
      </c>
      <c r="Y14" s="59" t="s">
        <v>12</v>
      </c>
      <c r="Z14" s="60"/>
      <c r="AA14" s="60"/>
      <c r="AB14" s="60"/>
      <c r="AC14" s="61"/>
      <c r="AD14" s="59" t="s">
        <v>13</v>
      </c>
      <c r="AE14" s="60"/>
      <c r="AF14" s="60"/>
      <c r="AG14" s="60"/>
      <c r="AH14" s="60"/>
      <c r="AI14" s="144"/>
      <c r="AJ14" s="105" t="s">
        <v>14</v>
      </c>
      <c r="AK14" s="96"/>
      <c r="AL14" s="34"/>
      <c r="AM14" s="107" t="s">
        <v>14</v>
      </c>
      <c r="AN14" s="32"/>
      <c r="AO14" s="63" t="s">
        <v>12</v>
      </c>
      <c r="AP14" s="62"/>
      <c r="AQ14" s="62"/>
      <c r="AR14" s="62"/>
      <c r="AS14" s="64"/>
      <c r="AT14" s="62" t="s">
        <v>13</v>
      </c>
      <c r="AU14" s="62"/>
      <c r="AV14" s="62"/>
      <c r="AW14" s="62"/>
      <c r="AX14" s="62"/>
      <c r="AY14" s="62"/>
      <c r="AZ14" s="62"/>
      <c r="BA14" s="62"/>
      <c r="BB14" s="64"/>
      <c r="BC14" s="35" t="s">
        <v>14</v>
      </c>
      <c r="BD14" s="35" t="s">
        <v>56</v>
      </c>
      <c r="BE14" s="33"/>
      <c r="BF14" s="19"/>
      <c r="BH14" s="65" t="s">
        <v>12</v>
      </c>
      <c r="BI14" s="66"/>
      <c r="BJ14" s="66"/>
      <c r="BK14" s="66"/>
      <c r="BL14" s="66"/>
      <c r="BM14" s="66"/>
      <c r="BN14" s="67"/>
      <c r="BO14" s="65" t="s">
        <v>13</v>
      </c>
      <c r="BP14" s="66"/>
      <c r="BQ14" s="66"/>
      <c r="BR14" s="66"/>
      <c r="BS14" s="66"/>
      <c r="BT14" s="66"/>
      <c r="BU14" s="67"/>
      <c r="BV14" s="44" t="s">
        <v>14</v>
      </c>
      <c r="BX14" s="91"/>
      <c r="BY14" s="288" t="s">
        <v>275</v>
      </c>
    </row>
    <row r="15" spans="1:79" s="242" customFormat="1" ht="32.25" customHeight="1">
      <c r="N15" s="33"/>
      <c r="Y15" s="39" t="s">
        <v>4</v>
      </c>
      <c r="Z15" s="40" t="s">
        <v>30</v>
      </c>
      <c r="AA15" s="40" t="s">
        <v>31</v>
      </c>
      <c r="AB15" s="40" t="s">
        <v>247</v>
      </c>
      <c r="AC15" s="41" t="s">
        <v>36</v>
      </c>
      <c r="AD15" s="39" t="s">
        <v>248</v>
      </c>
      <c r="AE15" s="40" t="s">
        <v>33</v>
      </c>
      <c r="AF15" s="40" t="s">
        <v>258</v>
      </c>
      <c r="AG15" s="40" t="s">
        <v>34</v>
      </c>
      <c r="AH15" s="40" t="s">
        <v>35</v>
      </c>
      <c r="AI15" s="42" t="s">
        <v>37</v>
      </c>
      <c r="AJ15" s="97"/>
      <c r="AK15" s="83" t="s">
        <v>271</v>
      </c>
      <c r="AL15" s="42" t="s">
        <v>97</v>
      </c>
      <c r="AM15" s="109" t="s">
        <v>56</v>
      </c>
      <c r="AN15" s="32"/>
      <c r="AO15" s="86" t="s">
        <v>4</v>
      </c>
      <c r="AP15" s="87" t="s">
        <v>30</v>
      </c>
      <c r="AQ15" s="87" t="s">
        <v>31</v>
      </c>
      <c r="AR15" s="87" t="s">
        <v>246</v>
      </c>
      <c r="AS15" s="43" t="s">
        <v>36</v>
      </c>
      <c r="AT15" s="87" t="s">
        <v>61</v>
      </c>
      <c r="AU15" s="87" t="s">
        <v>41</v>
      </c>
      <c r="AV15" s="87" t="s">
        <v>42</v>
      </c>
      <c r="AW15" s="87" t="s">
        <v>249</v>
      </c>
      <c r="AX15" s="87" t="s">
        <v>258</v>
      </c>
      <c r="AY15" s="87" t="s">
        <v>168</v>
      </c>
      <c r="AZ15" s="87" t="s">
        <v>34</v>
      </c>
      <c r="BA15" s="87" t="s">
        <v>35</v>
      </c>
      <c r="BB15" s="43" t="s">
        <v>37</v>
      </c>
      <c r="BC15" s="88"/>
      <c r="BD15" s="43"/>
      <c r="BE15" s="33"/>
      <c r="BF15" s="262" t="s">
        <v>55</v>
      </c>
      <c r="BG15" s="33"/>
      <c r="BH15" s="45" t="s">
        <v>62</v>
      </c>
      <c r="BI15" s="37" t="s">
        <v>41</v>
      </c>
      <c r="BJ15" s="37" t="s">
        <v>42</v>
      </c>
      <c r="BK15" s="37" t="s">
        <v>249</v>
      </c>
      <c r="BL15" s="37" t="s">
        <v>250</v>
      </c>
      <c r="BM15" s="37" t="s">
        <v>247</v>
      </c>
      <c r="BN15" s="38" t="s">
        <v>36</v>
      </c>
      <c r="BO15" s="37" t="s">
        <v>32</v>
      </c>
      <c r="BP15" s="37" t="s">
        <v>54</v>
      </c>
      <c r="BQ15" s="37" t="s">
        <v>74</v>
      </c>
      <c r="BR15" s="37" t="s">
        <v>39</v>
      </c>
      <c r="BS15" s="37" t="s">
        <v>277</v>
      </c>
      <c r="BT15" s="37" t="s">
        <v>251</v>
      </c>
      <c r="BU15" s="38" t="s">
        <v>37</v>
      </c>
      <c r="BV15" s="38"/>
      <c r="BW15" s="33"/>
      <c r="BX15" s="92"/>
      <c r="BY15" s="287">
        <f>IF(SUM(BY17:BY46)=0,0,1)</f>
        <v>0</v>
      </c>
      <c r="BZ15" s="33"/>
    </row>
    <row r="16" spans="1:79" ht="15.75" customHeight="1">
      <c r="B16" t="s">
        <v>155</v>
      </c>
      <c r="C16" t="s">
        <v>27</v>
      </c>
      <c r="D16" t="s">
        <v>7</v>
      </c>
      <c r="F16" s="1">
        <v>3</v>
      </c>
      <c r="J16" s="4" t="s">
        <v>156</v>
      </c>
      <c r="N16" s="19" t="s">
        <v>7</v>
      </c>
      <c r="O16" s="20">
        <f>SUM(F16:F17)</f>
        <v>3</v>
      </c>
      <c r="V16" s="104" t="s">
        <v>38</v>
      </c>
      <c r="Y16" s="170"/>
      <c r="Z16" s="152"/>
      <c r="AA16" s="152"/>
      <c r="AB16" s="152"/>
      <c r="AC16" s="152"/>
      <c r="AD16" s="152"/>
      <c r="AE16" s="152"/>
      <c r="AF16" s="152"/>
      <c r="AG16" s="152"/>
      <c r="AH16" s="152"/>
      <c r="AI16" s="152"/>
      <c r="AJ16" s="152"/>
      <c r="AK16" s="166"/>
      <c r="AL16" s="169">
        <f>-SUM(BS17,SUM(BR17:BR46),O105,O110)</f>
        <v>0</v>
      </c>
      <c r="AM16" s="158">
        <f>AL16*BF16</f>
        <v>0</v>
      </c>
      <c r="AN16" s="166"/>
      <c r="AO16" s="151"/>
      <c r="AP16" s="152"/>
      <c r="AQ16" s="152"/>
      <c r="AR16" s="152"/>
      <c r="AS16" s="152"/>
      <c r="AT16" s="152"/>
      <c r="AU16" s="152"/>
      <c r="AV16" s="152"/>
      <c r="AW16" s="152"/>
      <c r="AX16" s="152"/>
      <c r="AY16" s="152"/>
      <c r="AZ16" s="152"/>
      <c r="BA16" s="152"/>
      <c r="BB16" s="152"/>
      <c r="BC16" s="152"/>
      <c r="BD16" s="171"/>
      <c r="BE16" s="31"/>
      <c r="BF16" s="106">
        <v>1</v>
      </c>
      <c r="BH16" s="151"/>
      <c r="BI16" s="152"/>
      <c r="BJ16" s="152"/>
      <c r="BK16" s="152"/>
      <c r="BL16" s="152"/>
      <c r="BM16" s="152"/>
      <c r="BN16" s="152"/>
      <c r="BO16" s="152"/>
      <c r="BP16" s="152"/>
      <c r="BQ16" s="152"/>
      <c r="BR16" s="152"/>
      <c r="BS16" s="152"/>
      <c r="BT16" s="152"/>
      <c r="BU16" s="152"/>
      <c r="BV16" s="152"/>
      <c r="BW16" s="153"/>
      <c r="BX16" s="154"/>
      <c r="BY16" s="283"/>
      <c r="CA16"/>
    </row>
    <row r="17" spans="1:79" ht="15.75" customHeight="1">
      <c r="C17" t="s">
        <v>28</v>
      </c>
      <c r="D17" t="s">
        <v>7</v>
      </c>
      <c r="F17" s="1">
        <v>0</v>
      </c>
      <c r="J17" s="114"/>
      <c r="V17" s="58">
        <f>IF(W17=1,DATE(YEAR($F$18)+(MONTH($F$18)&gt;=4),4,0),EOMONTH(V15,12))</f>
        <v>45747</v>
      </c>
      <c r="W17" s="6">
        <v>1</v>
      </c>
      <c r="X17" s="6" t="str">
        <f>IF(W17&gt;$O$16,"-",IF($W17&lt;=$F$16,"整備期間","維持管理・運営期間"))</f>
        <v>整備期間</v>
      </c>
      <c r="Y17" s="161">
        <f t="shared" ref="Y17:Y56" si="0">IF($W17=$F$16,$O$61,0)</f>
        <v>0</v>
      </c>
      <c r="Z17" s="159">
        <f t="shared" ref="Z17:Z56" si="1">IF($W17=$F$16,$O$63,0)</f>
        <v>0</v>
      </c>
      <c r="AA17" s="159">
        <f t="shared" ref="AA17:AA56" si="2">IF($W17=$F$16,$O$62,0)</f>
        <v>0</v>
      </c>
      <c r="AB17" s="159">
        <f t="shared" ref="AB17:AB46" si="3">IF(X17="維持管理・運営期間",$F$56,0)</f>
        <v>0</v>
      </c>
      <c r="AC17" s="160">
        <f>SUM(Y17:Z17,AB17)</f>
        <v>0</v>
      </c>
      <c r="AD17" s="161">
        <f t="shared" ref="AD17:AD56" si="4">IF($W17=$F$16,$O$30,0)</f>
        <v>0</v>
      </c>
      <c r="AE17" s="159">
        <f t="shared" ref="AE17:AE56" si="5">IF($X17="維持管理・運営期間",$O$41,0)</f>
        <v>0</v>
      </c>
      <c r="AF17" s="159">
        <f t="shared" ref="AF17:AF46" si="6">IF(AND($W17&gt;0,$W17&lt;=$O$16),$E$45,0)</f>
        <v>10</v>
      </c>
      <c r="AG17" s="159">
        <f>IF(AND(SUM($AA$16:AA16)&gt;0,SUM($AG$16:AG16)&lt;$O$62,$W17&gt;=$O$65),$O$64,0)</f>
        <v>0</v>
      </c>
      <c r="AH17" s="159">
        <f>IF(SUM($AA15:$AA$17)&gt;0,($O$62-SUM($AG15:$AG$17))*$F$65,0)</f>
        <v>0</v>
      </c>
      <c r="AI17" s="160">
        <f>SUM(AD17:AF17)</f>
        <v>10</v>
      </c>
      <c r="AJ17" s="159">
        <f t="shared" ref="AJ17:AJ46" si="7">AC17-AI17</f>
        <v>-10</v>
      </c>
      <c r="AK17" s="162"/>
      <c r="AL17" s="163"/>
      <c r="AM17" s="160">
        <f t="shared" ref="AM17:AM46" si="8">AJ17*$BF17</f>
        <v>-9.6665055582406971</v>
      </c>
      <c r="AN17" s="164"/>
      <c r="AO17" s="161">
        <f t="shared" ref="AO17:AO56" si="9">IF($W17=$F$16,$P$61,0)</f>
        <v>0</v>
      </c>
      <c r="AP17" s="159">
        <f t="shared" ref="AP17:AP56" si="10">IF($W17=$F$16,$P$63,0)</f>
        <v>0</v>
      </c>
      <c r="AQ17" s="159">
        <f t="shared" ref="AQ17:AQ56" si="11">IF($W17=$F$16,$P$62,0)</f>
        <v>0</v>
      </c>
      <c r="AR17" s="159">
        <f t="shared" ref="AR17:AR46" si="12">IF($W17&lt;$O$16,IF(W17=$F$16,$U$92,$U$93),0)</f>
        <v>0</v>
      </c>
      <c r="AS17" s="160">
        <f>SUM(AO17:AP17,AR17)</f>
        <v>0</v>
      </c>
      <c r="AT17" s="159">
        <f t="shared" ref="AT17:AT46" si="13">IF(W17=$F$16,$P$30,0)</f>
        <v>0</v>
      </c>
      <c r="AU17" s="159">
        <f t="shared" ref="AU17:AU56" si="14">IFERROR(-PPMT($P$36,W17-$F$16,$F$17,SUM(P$31,P$51)),0)</f>
        <v>0</v>
      </c>
      <c r="AV17" s="159">
        <f t="shared" ref="AV17:AV56" si="15">IFERROR(-IPMT($P$36,W17-$F$16,$F$17,SUM($P$31,$P$51)),0)</f>
        <v>0</v>
      </c>
      <c r="AW17" s="159">
        <f>IF(AND(W17&gt;$F$16,W17&lt;=SUM($F$16:$F$17)),$P$43,0)</f>
        <v>0</v>
      </c>
      <c r="AX17" s="159">
        <f>IF($W17=1,$F$44,0)+IF(AND($W17&gt;0,$W17&lt;=$O$16),$F$45,0)</f>
        <v>31</v>
      </c>
      <c r="AY17" s="159">
        <f t="shared" ref="AY17:AY56" si="16">IF(AND(W17&gt;$F$16,W17&lt;=SUM($F$16:$F$17)),$P$54,0)</f>
        <v>0</v>
      </c>
      <c r="AZ17" s="159">
        <f>IF(AND(SUM($AQ$16:AQ16)&gt;0,SUM($AZ$16:AZ16)&lt;$P$62,$W17&gt;=$P$65),$P$64,0)</f>
        <v>0</v>
      </c>
      <c r="BA17" s="159">
        <f>IF(SUM($AQ16:$AQ$17)&gt;0,($P$62-SUM($AZ16:$AZ$17))*$F$65,0)</f>
        <v>0</v>
      </c>
      <c r="BB17" s="160">
        <f>SUM(AT17:AY17)</f>
        <v>31</v>
      </c>
      <c r="BC17" s="159">
        <f>AS17-BB17</f>
        <v>-31</v>
      </c>
      <c r="BD17" s="160">
        <f t="shared" ref="BD17:BD46" si="17">BC17*$BF17</f>
        <v>-29.966167230546159</v>
      </c>
      <c r="BE17" s="48"/>
      <c r="BF17" s="46">
        <f>1/(1+$O$22)</f>
        <v>0.96665055582406967</v>
      </c>
      <c r="BH17" s="155">
        <f>AT17</f>
        <v>0</v>
      </c>
      <c r="BI17" s="155">
        <f>AU17</f>
        <v>0</v>
      </c>
      <c r="BJ17" s="156">
        <f>AV17</f>
        <v>0</v>
      </c>
      <c r="BK17" s="156">
        <f>AW17</f>
        <v>0</v>
      </c>
      <c r="BL17" s="156">
        <f>AY17</f>
        <v>0</v>
      </c>
      <c r="BM17" s="156">
        <f t="shared" ref="BM17:BM46" si="18">IF($W17&gt;$F$16,$F$56,0)</f>
        <v>0</v>
      </c>
      <c r="BN17" s="157">
        <f>SUM(BH17:BM17)</f>
        <v>0</v>
      </c>
      <c r="BO17" s="156">
        <f t="shared" ref="BO17:BO56" si="19">IF($W17=$F$16,$P$32,0)</f>
        <v>0</v>
      </c>
      <c r="BP17" s="156">
        <f t="shared" ref="BP17:BP46" si="20">IF(AND(W17&gt;$F$16,W17&lt;=SUM($F$16:$F$17)),$P$41,0)</f>
        <v>0</v>
      </c>
      <c r="BQ17" s="156">
        <f t="shared" ref="BQ17:BQ56" si="21">IFERROR(-IPMT($P$67,W17-$F$16,$F$17,SUM(P$31,P$51)),0)</f>
        <v>0</v>
      </c>
      <c r="BR17" s="156">
        <f t="shared" ref="BR17:BR46" si="22">IF($W17&lt;=$O$16,$F$105,0)</f>
        <v>0</v>
      </c>
      <c r="BS17" s="228">
        <f>IF($W17=1,SUM($O$103,$O$105),0)</f>
        <v>0</v>
      </c>
      <c r="BT17" s="156">
        <f t="shared" ref="BT17:BT46" si="23">IF($W17&lt;$O$16,IF(W17=$F$16,$P$93,$P$94),0)</f>
        <v>0</v>
      </c>
      <c r="BU17" s="157">
        <f>SUM(BO17:BP17,BR17:BT17)</f>
        <v>0</v>
      </c>
      <c r="BV17" s="157">
        <f t="shared" ref="BV17:BV46" si="24">BN17-BU17</f>
        <v>0</v>
      </c>
      <c r="BW17" s="153"/>
      <c r="BX17" s="158">
        <f t="shared" ref="BX17:BX56" si="25">IFERROR(-PPMT($P$67,$W17-$F$16,$F$17,SUM(P$31,P$51)),0)</f>
        <v>0</v>
      </c>
      <c r="BY17" s="284"/>
      <c r="CA17"/>
    </row>
    <row r="18" spans="1:79" ht="15.75" customHeight="1">
      <c r="C18" t="s">
        <v>63</v>
      </c>
      <c r="F18" s="68">
        <v>45383</v>
      </c>
      <c r="J18" s="114"/>
      <c r="V18" s="58">
        <f t="shared" ref="V18:V46" si="26">IF(W18=1,DATE(YEAR($F$18)+(MONTH($F$18)&gt;=4),4,0),EOMONTH(V17,12))</f>
        <v>46112</v>
      </c>
      <c r="W18" s="6">
        <v>2</v>
      </c>
      <c r="X18" s="6" t="str">
        <f t="shared" ref="X18:X56" si="27">IF(W18&gt;$O$16,"-",IF($W18&lt;=$F$16,"整備期間","維持管理・運営期間"))</f>
        <v>整備期間</v>
      </c>
      <c r="Y18" s="161">
        <f t="shared" si="0"/>
        <v>0</v>
      </c>
      <c r="Z18" s="159">
        <f t="shared" si="1"/>
        <v>0</v>
      </c>
      <c r="AA18" s="159">
        <f t="shared" si="2"/>
        <v>0</v>
      </c>
      <c r="AB18" s="159">
        <f t="shared" si="3"/>
        <v>0</v>
      </c>
      <c r="AC18" s="160">
        <f t="shared" ref="AC18:AC46" si="28">SUM(Y18:Z18,AB18)</f>
        <v>0</v>
      </c>
      <c r="AD18" s="161">
        <f t="shared" si="4"/>
        <v>0</v>
      </c>
      <c r="AE18" s="159">
        <f t="shared" si="5"/>
        <v>0</v>
      </c>
      <c r="AF18" s="159">
        <f t="shared" si="6"/>
        <v>10</v>
      </c>
      <c r="AG18" s="159">
        <f>IF(AND(SUM($AA$16:AA17)&gt;0,SUM($AG$16:AG17)&lt;$O$62,$W18&gt;=$O$65),$O$64,0)</f>
        <v>0</v>
      </c>
      <c r="AH18" s="156">
        <f>IF(SUM($AA$17:$AA17)&gt;0,($O$62-SUM($AG$17:$AG17))*$F$65,0)</f>
        <v>0</v>
      </c>
      <c r="AI18" s="160">
        <f t="shared" ref="AI18:AI46" si="29">SUM(AD18:AF18)</f>
        <v>10</v>
      </c>
      <c r="AJ18" s="156">
        <f t="shared" si="7"/>
        <v>-10</v>
      </c>
      <c r="AK18" s="162"/>
      <c r="AL18" s="163"/>
      <c r="AM18" s="157">
        <f t="shared" si="8"/>
        <v>-9.3441329707498273</v>
      </c>
      <c r="AN18" s="164"/>
      <c r="AO18" s="155">
        <f t="shared" si="9"/>
        <v>0</v>
      </c>
      <c r="AP18" s="156">
        <f t="shared" si="10"/>
        <v>0</v>
      </c>
      <c r="AQ18" s="156">
        <f t="shared" si="11"/>
        <v>0</v>
      </c>
      <c r="AR18" s="159">
        <f t="shared" si="12"/>
        <v>0</v>
      </c>
      <c r="AS18" s="160">
        <f t="shared" ref="AS18:AS46" si="30">SUM(AO18:AP18,AR18)</f>
        <v>0</v>
      </c>
      <c r="AT18" s="159">
        <f t="shared" si="13"/>
        <v>0</v>
      </c>
      <c r="AU18" s="159">
        <f t="shared" si="14"/>
        <v>0</v>
      </c>
      <c r="AV18" s="159">
        <f t="shared" si="15"/>
        <v>0</v>
      </c>
      <c r="AW18" s="159">
        <f t="shared" ref="AW18:AW46" si="31">IF(AND(W18&gt;$F$16,W18&lt;=SUM($F$16:$F$17)),$P$43,0)</f>
        <v>0</v>
      </c>
      <c r="AX18" s="159">
        <f t="shared" ref="AX18:AX56" si="32">IF($W18=1,$F$44,0)+IF(AND($W18&gt;0,$W18&lt;=$O$16),$F$45,0)</f>
        <v>6</v>
      </c>
      <c r="AY18" s="159">
        <f t="shared" si="16"/>
        <v>0</v>
      </c>
      <c r="AZ18" s="159">
        <f>IF(AND(SUM($AQ$16:AQ17)&gt;0,SUM($AZ$16:AZ17)&lt;$P$62,$W18&gt;=$P$65),$P$64,0)</f>
        <v>0</v>
      </c>
      <c r="BA18" s="159">
        <f>IF(SUM($AQ17:$AQ$17)&gt;0,($P$62-SUM($AZ17:$AZ$17))*$F$65,0)</f>
        <v>0</v>
      </c>
      <c r="BB18" s="160">
        <f t="shared" ref="BB18:BB46" si="33">SUM(AT18:AY18)</f>
        <v>6</v>
      </c>
      <c r="BC18" s="156">
        <f t="shared" ref="BC18:BC46" si="34">AS18-BB18</f>
        <v>-6</v>
      </c>
      <c r="BD18" s="157">
        <f t="shared" si="17"/>
        <v>-5.6064797824498971</v>
      </c>
      <c r="BE18" s="48"/>
      <c r="BF18" s="46">
        <f t="shared" ref="BF18:BF56" si="35">BF17/(1+$O$22)</f>
        <v>0.93441329707498277</v>
      </c>
      <c r="BH18" s="155">
        <f t="shared" ref="BH18:BH46" si="36">AT18</f>
        <v>0</v>
      </c>
      <c r="BI18" s="155">
        <f t="shared" ref="BI18:BI46" si="37">AU18</f>
        <v>0</v>
      </c>
      <c r="BJ18" s="156">
        <f t="shared" ref="BJ18:BJ46" si="38">AV18</f>
        <v>0</v>
      </c>
      <c r="BK18" s="156">
        <f t="shared" ref="BK18:BK46" si="39">AW18</f>
        <v>0</v>
      </c>
      <c r="BL18" s="156">
        <f t="shared" ref="BL18:BL46" si="40">AY18</f>
        <v>0</v>
      </c>
      <c r="BM18" s="156">
        <f t="shared" si="18"/>
        <v>0</v>
      </c>
      <c r="BN18" s="157">
        <f t="shared" ref="BN18:BN46" si="41">SUM(BH18:BM18)</f>
        <v>0</v>
      </c>
      <c r="BO18" s="156">
        <f t="shared" si="19"/>
        <v>0</v>
      </c>
      <c r="BP18" s="156">
        <f t="shared" si="20"/>
        <v>0</v>
      </c>
      <c r="BQ18" s="156">
        <f t="shared" si="21"/>
        <v>0</v>
      </c>
      <c r="BR18" s="156">
        <f t="shared" si="22"/>
        <v>0</v>
      </c>
      <c r="BS18" s="228">
        <f t="shared" ref="BS18:BS56" si="42">IF($W18=1,SUM($O$103,$O$105),0)</f>
        <v>0</v>
      </c>
      <c r="BT18" s="156">
        <f t="shared" si="23"/>
        <v>0</v>
      </c>
      <c r="BU18" s="157">
        <f t="shared" ref="BU18:BU46" si="43">SUM(BO18:BP18,BR18:BT18)</f>
        <v>0</v>
      </c>
      <c r="BV18" s="157">
        <f t="shared" si="24"/>
        <v>0</v>
      </c>
      <c r="BW18" s="153"/>
      <c r="BX18" s="158">
        <f t="shared" si="25"/>
        <v>0</v>
      </c>
      <c r="BY18" s="285"/>
      <c r="CA18"/>
    </row>
    <row r="19" spans="1:79" ht="15.75" customHeight="1">
      <c r="C19" t="s">
        <v>64</v>
      </c>
      <c r="F19" s="137">
        <f>EOMONTH(F18,12*F16-1)</f>
        <v>46477</v>
      </c>
      <c r="J19" s="114"/>
      <c r="V19" s="58">
        <f t="shared" si="26"/>
        <v>46477</v>
      </c>
      <c r="W19" s="6">
        <v>3</v>
      </c>
      <c r="X19" s="6" t="str">
        <f t="shared" si="27"/>
        <v>整備期間</v>
      </c>
      <c r="Y19" s="161">
        <f t="shared" si="0"/>
        <v>1140</v>
      </c>
      <c r="Z19" s="159">
        <f t="shared" si="1"/>
        <v>384.75</v>
      </c>
      <c r="AA19" s="159">
        <f t="shared" si="2"/>
        <v>1282.5</v>
      </c>
      <c r="AB19" s="159">
        <f t="shared" si="3"/>
        <v>0</v>
      </c>
      <c r="AC19" s="160">
        <f t="shared" si="28"/>
        <v>1524.75</v>
      </c>
      <c r="AD19" s="161">
        <f t="shared" si="4"/>
        <v>2850</v>
      </c>
      <c r="AE19" s="159">
        <f t="shared" si="5"/>
        <v>0</v>
      </c>
      <c r="AF19" s="159">
        <f t="shared" si="6"/>
        <v>10</v>
      </c>
      <c r="AG19" s="159">
        <f>IF(AND(SUM($AA$16:AA18)&gt;0,SUM($AG$16:AG18)&lt;$O$62,$W19&gt;=$O$65),$O$64,0)</f>
        <v>0</v>
      </c>
      <c r="AH19" s="156">
        <f>IF(SUM($AA$17:$AA18)&gt;0,($O$62-SUM($AG$17:$AG18))*$F$65,0)</f>
        <v>0</v>
      </c>
      <c r="AI19" s="160">
        <f t="shared" si="29"/>
        <v>2860</v>
      </c>
      <c r="AJ19" s="156">
        <f t="shared" si="7"/>
        <v>-1335.25</v>
      </c>
      <c r="AK19" s="162"/>
      <c r="AL19" s="163"/>
      <c r="AM19" s="157">
        <f t="shared" si="8"/>
        <v>-1206.0660753208031</v>
      </c>
      <c r="AN19" s="164"/>
      <c r="AO19" s="155">
        <f t="shared" si="9"/>
        <v>960</v>
      </c>
      <c r="AP19" s="156">
        <f t="shared" si="10"/>
        <v>324</v>
      </c>
      <c r="AQ19" s="156">
        <f t="shared" si="11"/>
        <v>1080</v>
      </c>
      <c r="AR19" s="159">
        <f t="shared" si="12"/>
        <v>0</v>
      </c>
      <c r="AS19" s="160">
        <f t="shared" si="30"/>
        <v>1284</v>
      </c>
      <c r="AT19" s="159">
        <f t="shared" si="13"/>
        <v>2400</v>
      </c>
      <c r="AU19" s="159">
        <f t="shared" si="14"/>
        <v>0</v>
      </c>
      <c r="AV19" s="159">
        <f t="shared" si="15"/>
        <v>0</v>
      </c>
      <c r="AW19" s="159">
        <f t="shared" si="31"/>
        <v>0</v>
      </c>
      <c r="AX19" s="159">
        <f t="shared" si="32"/>
        <v>6</v>
      </c>
      <c r="AY19" s="159">
        <f t="shared" si="16"/>
        <v>0</v>
      </c>
      <c r="AZ19" s="159">
        <f>IF(AND(SUM($AQ$16:AQ18)&gt;0,SUM($AZ$16:AZ18)&lt;$P$62,$W19&gt;=$P$65),$P$64,0)</f>
        <v>0</v>
      </c>
      <c r="BA19" s="159">
        <f>IF(SUM($AQ$17:$AQ18)&gt;0,($P$62-SUM($AZ$17:$AZ18))*$F$65,0)</f>
        <v>0</v>
      </c>
      <c r="BB19" s="160">
        <f t="shared" si="33"/>
        <v>2406</v>
      </c>
      <c r="BC19" s="156">
        <f t="shared" si="34"/>
        <v>-1122</v>
      </c>
      <c r="BD19" s="157">
        <f t="shared" si="17"/>
        <v>-1013.4477712113395</v>
      </c>
      <c r="BE19" s="48"/>
      <c r="BF19" s="46">
        <f t="shared" si="35"/>
        <v>0.9032511329869336</v>
      </c>
      <c r="BH19" s="155">
        <f t="shared" si="36"/>
        <v>2400</v>
      </c>
      <c r="BI19" s="155">
        <f t="shared" si="37"/>
        <v>0</v>
      </c>
      <c r="BJ19" s="156">
        <f t="shared" si="38"/>
        <v>0</v>
      </c>
      <c r="BK19" s="156">
        <f t="shared" si="39"/>
        <v>0</v>
      </c>
      <c r="BL19" s="156">
        <f t="shared" si="40"/>
        <v>0</v>
      </c>
      <c r="BM19" s="156">
        <f t="shared" si="18"/>
        <v>0</v>
      </c>
      <c r="BN19" s="157">
        <f t="shared" si="41"/>
        <v>2400</v>
      </c>
      <c r="BO19" s="156">
        <f t="shared" si="19"/>
        <v>2400</v>
      </c>
      <c r="BP19" s="156">
        <f t="shared" si="20"/>
        <v>0</v>
      </c>
      <c r="BQ19" s="156">
        <f t="shared" si="21"/>
        <v>0</v>
      </c>
      <c r="BR19" s="156">
        <f t="shared" si="22"/>
        <v>0</v>
      </c>
      <c r="BS19" s="228">
        <f t="shared" si="42"/>
        <v>0</v>
      </c>
      <c r="BT19" s="156">
        <f t="shared" si="23"/>
        <v>0</v>
      </c>
      <c r="BU19" s="157">
        <f t="shared" si="43"/>
        <v>2400</v>
      </c>
      <c r="BV19" s="157">
        <f t="shared" si="24"/>
        <v>0</v>
      </c>
      <c r="BW19" s="153"/>
      <c r="BX19" s="158">
        <f t="shared" si="25"/>
        <v>0</v>
      </c>
      <c r="BY19" s="285"/>
      <c r="CA19"/>
    </row>
    <row r="20" spans="1:79" ht="15.75" customHeight="1">
      <c r="C20" t="s">
        <v>65</v>
      </c>
      <c r="F20" s="137">
        <f>F19+1</f>
        <v>46478</v>
      </c>
      <c r="V20" s="58">
        <f t="shared" si="26"/>
        <v>46843</v>
      </c>
      <c r="W20" s="6">
        <v>4</v>
      </c>
      <c r="X20" s="6" t="str">
        <f t="shared" si="27"/>
        <v>-</v>
      </c>
      <c r="Y20" s="161">
        <f t="shared" si="0"/>
        <v>0</v>
      </c>
      <c r="Z20" s="159">
        <f t="shared" si="1"/>
        <v>0</v>
      </c>
      <c r="AA20" s="159">
        <f t="shared" si="2"/>
        <v>0</v>
      </c>
      <c r="AB20" s="159">
        <f t="shared" si="3"/>
        <v>0</v>
      </c>
      <c r="AC20" s="160">
        <f t="shared" si="28"/>
        <v>0</v>
      </c>
      <c r="AD20" s="161">
        <f t="shared" si="4"/>
        <v>0</v>
      </c>
      <c r="AE20" s="159">
        <f t="shared" si="5"/>
        <v>0</v>
      </c>
      <c r="AF20" s="159">
        <f t="shared" si="6"/>
        <v>0</v>
      </c>
      <c r="AG20" s="159">
        <f>IF(AND(SUM($AA$16:AA19)&gt;0,SUM($AG$16:AG19)&lt;$O$62,$W20&gt;=$O$65),$O$64,0)</f>
        <v>0</v>
      </c>
      <c r="AH20" s="156">
        <f>IF(SUM($AA$17:$AA19)&gt;0,($O$62-SUM($AG$17:$AG19))*$F$65,0)</f>
        <v>19.237500000000001</v>
      </c>
      <c r="AI20" s="160">
        <f t="shared" si="29"/>
        <v>0</v>
      </c>
      <c r="AJ20" s="156">
        <f t="shared" si="7"/>
        <v>0</v>
      </c>
      <c r="AK20" s="158">
        <f>(SUM($P$31,$P$51)-SUM($AU$17:AU19))*$O$109</f>
        <v>0</v>
      </c>
      <c r="AL20" s="163"/>
      <c r="AM20" s="157">
        <f t="shared" si="8"/>
        <v>0</v>
      </c>
      <c r="AN20" s="164"/>
      <c r="AO20" s="155">
        <f t="shared" si="9"/>
        <v>0</v>
      </c>
      <c r="AP20" s="156">
        <f t="shared" si="10"/>
        <v>0</v>
      </c>
      <c r="AQ20" s="156">
        <f t="shared" si="11"/>
        <v>0</v>
      </c>
      <c r="AR20" s="159">
        <f t="shared" si="12"/>
        <v>0</v>
      </c>
      <c r="AS20" s="160">
        <f t="shared" si="30"/>
        <v>0</v>
      </c>
      <c r="AT20" s="159">
        <f t="shared" si="13"/>
        <v>0</v>
      </c>
      <c r="AU20" s="159">
        <f t="shared" si="14"/>
        <v>0</v>
      </c>
      <c r="AV20" s="159">
        <f t="shared" si="15"/>
        <v>0</v>
      </c>
      <c r="AW20" s="159">
        <f t="shared" si="31"/>
        <v>0</v>
      </c>
      <c r="AX20" s="159">
        <f t="shared" si="32"/>
        <v>0</v>
      </c>
      <c r="AY20" s="159">
        <f t="shared" si="16"/>
        <v>0</v>
      </c>
      <c r="AZ20" s="159">
        <f>IF(AND(SUM($AQ$16:AQ19)&gt;0,SUM($AZ$16:AZ19)&lt;$P$62,$W20&gt;=$P$65),$P$64,0)</f>
        <v>0</v>
      </c>
      <c r="BA20" s="159">
        <f>IF(SUM($AQ$17:$AQ19)&gt;0,($P$62-SUM($AZ$17:$AZ19))*$F$65,0)</f>
        <v>16.2</v>
      </c>
      <c r="BB20" s="160">
        <f t="shared" si="33"/>
        <v>0</v>
      </c>
      <c r="BC20" s="156">
        <f t="shared" si="34"/>
        <v>0</v>
      </c>
      <c r="BD20" s="157">
        <f t="shared" si="17"/>
        <v>0</v>
      </c>
      <c r="BE20" s="48"/>
      <c r="BF20" s="46">
        <f t="shared" si="35"/>
        <v>0.87312820975053995</v>
      </c>
      <c r="BH20" s="155">
        <f t="shared" si="36"/>
        <v>0</v>
      </c>
      <c r="BI20" s="155">
        <f t="shared" si="37"/>
        <v>0</v>
      </c>
      <c r="BJ20" s="156">
        <f t="shared" si="38"/>
        <v>0</v>
      </c>
      <c r="BK20" s="156">
        <f t="shared" si="39"/>
        <v>0</v>
      </c>
      <c r="BL20" s="156">
        <f t="shared" si="40"/>
        <v>0</v>
      </c>
      <c r="BM20" s="156">
        <f t="shared" si="18"/>
        <v>0</v>
      </c>
      <c r="BN20" s="157">
        <f t="shared" si="41"/>
        <v>0</v>
      </c>
      <c r="BO20" s="156">
        <f t="shared" si="19"/>
        <v>0</v>
      </c>
      <c r="BP20" s="156">
        <f t="shared" si="20"/>
        <v>0</v>
      </c>
      <c r="BQ20" s="156">
        <f t="shared" si="21"/>
        <v>0</v>
      </c>
      <c r="BR20" s="156">
        <f t="shared" si="22"/>
        <v>0</v>
      </c>
      <c r="BS20" s="228">
        <f t="shared" si="42"/>
        <v>0</v>
      </c>
      <c r="BT20" s="156">
        <f t="shared" si="23"/>
        <v>0</v>
      </c>
      <c r="BU20" s="157">
        <f t="shared" si="43"/>
        <v>0</v>
      </c>
      <c r="BV20" s="157">
        <f t="shared" si="24"/>
        <v>0</v>
      </c>
      <c r="BW20" s="153"/>
      <c r="BX20" s="158">
        <f t="shared" si="25"/>
        <v>0</v>
      </c>
      <c r="BY20" s="286">
        <f>IF(BV20-BX20&gt;=0,0,1)</f>
        <v>0</v>
      </c>
      <c r="CA20"/>
    </row>
    <row r="21" spans="1:79" ht="15.75" customHeight="1">
      <c r="C21" t="s">
        <v>66</v>
      </c>
      <c r="F21" s="137">
        <f>EOMONTH(F20,12*F17-1)</f>
        <v>46477</v>
      </c>
      <c r="V21" s="58">
        <f t="shared" si="26"/>
        <v>47208</v>
      </c>
      <c r="W21" s="6">
        <v>5</v>
      </c>
      <c r="X21" s="6" t="str">
        <f t="shared" si="27"/>
        <v>-</v>
      </c>
      <c r="Y21" s="161">
        <f t="shared" si="0"/>
        <v>0</v>
      </c>
      <c r="Z21" s="159">
        <f t="shared" si="1"/>
        <v>0</v>
      </c>
      <c r="AA21" s="159">
        <f t="shared" si="2"/>
        <v>0</v>
      </c>
      <c r="AB21" s="159">
        <f t="shared" si="3"/>
        <v>0</v>
      </c>
      <c r="AC21" s="160">
        <f t="shared" si="28"/>
        <v>0</v>
      </c>
      <c r="AD21" s="161">
        <f t="shared" si="4"/>
        <v>0</v>
      </c>
      <c r="AE21" s="159">
        <f t="shared" si="5"/>
        <v>0</v>
      </c>
      <c r="AF21" s="159">
        <f t="shared" si="6"/>
        <v>0</v>
      </c>
      <c r="AG21" s="159">
        <f>IF(AND(SUM($AA$16:AA20)&gt;0,SUM($AG$16:AG20)&lt;$O$62,$W21&gt;=$O$65),$O$64,0)</f>
        <v>0</v>
      </c>
      <c r="AH21" s="156">
        <f>IF(SUM($AA$17:$AA20)&gt;0,($O$62-SUM($AG$17:$AG20))*$F$65,0)</f>
        <v>19.237500000000001</v>
      </c>
      <c r="AI21" s="160">
        <f t="shared" si="29"/>
        <v>0</v>
      </c>
      <c r="AJ21" s="156">
        <f t="shared" si="7"/>
        <v>0</v>
      </c>
      <c r="AK21" s="158">
        <f>(SUM($P$31,$P$51)-SUM($AU$17:AU20))*$O$109</f>
        <v>0</v>
      </c>
      <c r="AL21" s="163"/>
      <c r="AM21" s="157">
        <f t="shared" si="8"/>
        <v>0</v>
      </c>
      <c r="AN21" s="164"/>
      <c r="AO21" s="155">
        <f t="shared" si="9"/>
        <v>0</v>
      </c>
      <c r="AP21" s="156">
        <f t="shared" si="10"/>
        <v>0</v>
      </c>
      <c r="AQ21" s="156">
        <f t="shared" si="11"/>
        <v>0</v>
      </c>
      <c r="AR21" s="159">
        <f t="shared" si="12"/>
        <v>0</v>
      </c>
      <c r="AS21" s="160">
        <f t="shared" si="30"/>
        <v>0</v>
      </c>
      <c r="AT21" s="159">
        <f t="shared" si="13"/>
        <v>0</v>
      </c>
      <c r="AU21" s="159">
        <f t="shared" si="14"/>
        <v>0</v>
      </c>
      <c r="AV21" s="159">
        <f t="shared" si="15"/>
        <v>0</v>
      </c>
      <c r="AW21" s="159">
        <f t="shared" si="31"/>
        <v>0</v>
      </c>
      <c r="AX21" s="159">
        <f t="shared" si="32"/>
        <v>0</v>
      </c>
      <c r="AY21" s="159">
        <f t="shared" si="16"/>
        <v>0</v>
      </c>
      <c r="AZ21" s="159">
        <f>IF(AND(SUM($AQ$16:AQ20)&gt;0,SUM($AZ$16:AZ20)&lt;$P$62,$W21&gt;=$P$65),$P$64,0)</f>
        <v>0</v>
      </c>
      <c r="BA21" s="159">
        <f>IF(SUM($AQ$17:$AQ20)&gt;0,($P$62-SUM($AZ$17:$AZ20))*$F$65,0)</f>
        <v>16.2</v>
      </c>
      <c r="BB21" s="160">
        <f t="shared" si="33"/>
        <v>0</v>
      </c>
      <c r="BC21" s="156">
        <f t="shared" si="34"/>
        <v>0</v>
      </c>
      <c r="BD21" s="157">
        <f t="shared" si="17"/>
        <v>0</v>
      </c>
      <c r="BE21" s="48"/>
      <c r="BF21" s="46">
        <f t="shared" si="35"/>
        <v>0.84400986926103427</v>
      </c>
      <c r="BH21" s="155">
        <f t="shared" si="36"/>
        <v>0</v>
      </c>
      <c r="BI21" s="155">
        <f t="shared" si="37"/>
        <v>0</v>
      </c>
      <c r="BJ21" s="156">
        <f t="shared" si="38"/>
        <v>0</v>
      </c>
      <c r="BK21" s="156">
        <f t="shared" si="39"/>
        <v>0</v>
      </c>
      <c r="BL21" s="156">
        <f t="shared" si="40"/>
        <v>0</v>
      </c>
      <c r="BM21" s="156">
        <f t="shared" si="18"/>
        <v>0</v>
      </c>
      <c r="BN21" s="157">
        <f t="shared" si="41"/>
        <v>0</v>
      </c>
      <c r="BO21" s="156">
        <f t="shared" si="19"/>
        <v>0</v>
      </c>
      <c r="BP21" s="156">
        <f t="shared" si="20"/>
        <v>0</v>
      </c>
      <c r="BQ21" s="156">
        <f t="shared" si="21"/>
        <v>0</v>
      </c>
      <c r="BR21" s="156">
        <f t="shared" si="22"/>
        <v>0</v>
      </c>
      <c r="BS21" s="228">
        <f t="shared" si="42"/>
        <v>0</v>
      </c>
      <c r="BT21" s="156">
        <f t="shared" si="23"/>
        <v>0</v>
      </c>
      <c r="BU21" s="157">
        <f t="shared" si="43"/>
        <v>0</v>
      </c>
      <c r="BV21" s="157">
        <f t="shared" si="24"/>
        <v>0</v>
      </c>
      <c r="BW21" s="153"/>
      <c r="BX21" s="158">
        <f t="shared" si="25"/>
        <v>0</v>
      </c>
      <c r="BY21" s="286">
        <f t="shared" ref="BY21:BY46" si="44">IF(BV21-BX21&gt;=0,0,1)</f>
        <v>0</v>
      </c>
      <c r="CA21"/>
    </row>
    <row r="22" spans="1:79" ht="15.75" customHeight="1">
      <c r="B22" s="56" t="s">
        <v>179</v>
      </c>
      <c r="C22" s="19"/>
      <c r="I22" s="72"/>
      <c r="J22" s="4" t="s">
        <v>179</v>
      </c>
      <c r="N22" s="19" t="s">
        <v>6</v>
      </c>
      <c r="O22" s="36">
        <f>SUM(F23:F24)</f>
        <v>3.4499999999999996E-2</v>
      </c>
      <c r="V22" s="58">
        <f t="shared" si="26"/>
        <v>47573</v>
      </c>
      <c r="W22" s="6">
        <v>6</v>
      </c>
      <c r="X22" s="6" t="str">
        <f t="shared" si="27"/>
        <v>-</v>
      </c>
      <c r="Y22" s="161">
        <f t="shared" si="0"/>
        <v>0</v>
      </c>
      <c r="Z22" s="159">
        <f t="shared" si="1"/>
        <v>0</v>
      </c>
      <c r="AA22" s="159">
        <f t="shared" si="2"/>
        <v>0</v>
      </c>
      <c r="AB22" s="159">
        <f t="shared" si="3"/>
        <v>0</v>
      </c>
      <c r="AC22" s="160">
        <f t="shared" si="28"/>
        <v>0</v>
      </c>
      <c r="AD22" s="161">
        <f t="shared" si="4"/>
        <v>0</v>
      </c>
      <c r="AE22" s="159">
        <f t="shared" si="5"/>
        <v>0</v>
      </c>
      <c r="AF22" s="159">
        <f t="shared" si="6"/>
        <v>0</v>
      </c>
      <c r="AG22" s="159">
        <f>IF(AND(SUM($AA$16:AA21)&gt;0,SUM($AG$16:AG21)&lt;$O$62,$W22&gt;=$O$65),$O$64,0)</f>
        <v>0</v>
      </c>
      <c r="AH22" s="156">
        <f>IF(SUM($AA$17:$AA21)&gt;0,($O$62-SUM($AG$17:$AG21))*$F$65,0)</f>
        <v>19.237500000000001</v>
      </c>
      <c r="AI22" s="160">
        <f t="shared" si="29"/>
        <v>0</v>
      </c>
      <c r="AJ22" s="156">
        <f t="shared" si="7"/>
        <v>0</v>
      </c>
      <c r="AK22" s="158">
        <f>(SUM($P$31,$P$51)-SUM($AU$17:AU21))*$O$109</f>
        <v>0</v>
      </c>
      <c r="AL22" s="163"/>
      <c r="AM22" s="157">
        <f t="shared" si="8"/>
        <v>0</v>
      </c>
      <c r="AN22" s="164"/>
      <c r="AO22" s="155">
        <f t="shared" si="9"/>
        <v>0</v>
      </c>
      <c r="AP22" s="156">
        <f t="shared" si="10"/>
        <v>0</v>
      </c>
      <c r="AQ22" s="156">
        <f t="shared" si="11"/>
        <v>0</v>
      </c>
      <c r="AR22" s="159">
        <f t="shared" si="12"/>
        <v>0</v>
      </c>
      <c r="AS22" s="160">
        <f t="shared" si="30"/>
        <v>0</v>
      </c>
      <c r="AT22" s="159">
        <f t="shared" si="13"/>
        <v>0</v>
      </c>
      <c r="AU22" s="159">
        <f t="shared" si="14"/>
        <v>0</v>
      </c>
      <c r="AV22" s="159">
        <f t="shared" si="15"/>
        <v>0</v>
      </c>
      <c r="AW22" s="159">
        <f t="shared" si="31"/>
        <v>0</v>
      </c>
      <c r="AX22" s="159">
        <f t="shared" si="32"/>
        <v>0</v>
      </c>
      <c r="AY22" s="159">
        <f t="shared" si="16"/>
        <v>0</v>
      </c>
      <c r="AZ22" s="159">
        <f>IF(AND(SUM($AQ$16:AQ21)&gt;0,SUM($AZ$16:AZ21)&lt;$P$62,$W22&gt;=$P$65),$P$64,0)</f>
        <v>0</v>
      </c>
      <c r="BA22" s="159">
        <f>IF(SUM($AQ$17:$AQ21)&gt;0,($P$62-SUM($AZ$17:$AZ21))*$F$65,0)</f>
        <v>16.2</v>
      </c>
      <c r="BB22" s="160">
        <f t="shared" si="33"/>
        <v>0</v>
      </c>
      <c r="BC22" s="156">
        <f t="shared" si="34"/>
        <v>0</v>
      </c>
      <c r="BD22" s="157">
        <f t="shared" si="17"/>
        <v>0</v>
      </c>
      <c r="BE22" s="48"/>
      <c r="BF22" s="46">
        <f t="shared" si="35"/>
        <v>0.81586260924217913</v>
      </c>
      <c r="BH22" s="155">
        <f t="shared" si="36"/>
        <v>0</v>
      </c>
      <c r="BI22" s="155">
        <f t="shared" si="37"/>
        <v>0</v>
      </c>
      <c r="BJ22" s="156">
        <f t="shared" si="38"/>
        <v>0</v>
      </c>
      <c r="BK22" s="156">
        <f t="shared" si="39"/>
        <v>0</v>
      </c>
      <c r="BL22" s="156">
        <f t="shared" si="40"/>
        <v>0</v>
      </c>
      <c r="BM22" s="156">
        <f t="shared" si="18"/>
        <v>0</v>
      </c>
      <c r="BN22" s="157">
        <f t="shared" si="41"/>
        <v>0</v>
      </c>
      <c r="BO22" s="156">
        <f t="shared" si="19"/>
        <v>0</v>
      </c>
      <c r="BP22" s="156">
        <f t="shared" si="20"/>
        <v>0</v>
      </c>
      <c r="BQ22" s="156">
        <f t="shared" si="21"/>
        <v>0</v>
      </c>
      <c r="BR22" s="156">
        <f t="shared" si="22"/>
        <v>0</v>
      </c>
      <c r="BS22" s="228">
        <f t="shared" si="42"/>
        <v>0</v>
      </c>
      <c r="BT22" s="156">
        <f t="shared" si="23"/>
        <v>0</v>
      </c>
      <c r="BU22" s="157">
        <f t="shared" si="43"/>
        <v>0</v>
      </c>
      <c r="BV22" s="157">
        <f t="shared" si="24"/>
        <v>0</v>
      </c>
      <c r="BW22" s="153"/>
      <c r="BX22" s="158">
        <f t="shared" si="25"/>
        <v>0</v>
      </c>
      <c r="BY22" s="286">
        <f t="shared" si="44"/>
        <v>0</v>
      </c>
      <c r="CA22"/>
    </row>
    <row r="23" spans="1:79" ht="15.75" customHeight="1">
      <c r="C23" t="s">
        <v>180</v>
      </c>
      <c r="F23" s="15">
        <v>1.4500000000000001E-2</v>
      </c>
      <c r="H23" t="s">
        <v>178</v>
      </c>
      <c r="V23" s="58">
        <f t="shared" si="26"/>
        <v>47938</v>
      </c>
      <c r="W23" s="6">
        <v>7</v>
      </c>
      <c r="X23" s="6" t="str">
        <f t="shared" si="27"/>
        <v>-</v>
      </c>
      <c r="Y23" s="161">
        <f t="shared" si="0"/>
        <v>0</v>
      </c>
      <c r="Z23" s="159">
        <f t="shared" si="1"/>
        <v>0</v>
      </c>
      <c r="AA23" s="159">
        <f t="shared" si="2"/>
        <v>0</v>
      </c>
      <c r="AB23" s="159">
        <f t="shared" si="3"/>
        <v>0</v>
      </c>
      <c r="AC23" s="160">
        <f t="shared" si="28"/>
        <v>0</v>
      </c>
      <c r="AD23" s="161">
        <f t="shared" si="4"/>
        <v>0</v>
      </c>
      <c r="AE23" s="159">
        <f t="shared" si="5"/>
        <v>0</v>
      </c>
      <c r="AF23" s="159">
        <f t="shared" si="6"/>
        <v>0</v>
      </c>
      <c r="AG23" s="159">
        <f>IF(AND(SUM($AA$16:AA22)&gt;0,SUM($AG$16:AG22)&lt;$O$62,$W23&gt;=$O$65),$O$64,0)</f>
        <v>64.125</v>
      </c>
      <c r="AH23" s="156">
        <f>IF(SUM($AA$17:$AA22)&gt;0,($O$62-SUM($AG$17:$AG22))*$F$65,0)</f>
        <v>19.237500000000001</v>
      </c>
      <c r="AI23" s="160">
        <f t="shared" si="29"/>
        <v>0</v>
      </c>
      <c r="AJ23" s="156">
        <f t="shared" si="7"/>
        <v>0</v>
      </c>
      <c r="AK23" s="158">
        <f>(SUM($P$31,$P$51)-SUM($AU$17:AU22))*$O$109</f>
        <v>0</v>
      </c>
      <c r="AL23" s="163"/>
      <c r="AM23" s="157">
        <f t="shared" si="8"/>
        <v>0</v>
      </c>
      <c r="AN23" s="164"/>
      <c r="AO23" s="155">
        <f t="shared" si="9"/>
        <v>0</v>
      </c>
      <c r="AP23" s="156">
        <f t="shared" si="10"/>
        <v>0</v>
      </c>
      <c r="AQ23" s="156">
        <f t="shared" si="11"/>
        <v>0</v>
      </c>
      <c r="AR23" s="159">
        <f t="shared" si="12"/>
        <v>0</v>
      </c>
      <c r="AS23" s="160">
        <f t="shared" si="30"/>
        <v>0</v>
      </c>
      <c r="AT23" s="159">
        <f t="shared" si="13"/>
        <v>0</v>
      </c>
      <c r="AU23" s="159">
        <f t="shared" si="14"/>
        <v>0</v>
      </c>
      <c r="AV23" s="159">
        <f t="shared" si="15"/>
        <v>0</v>
      </c>
      <c r="AW23" s="159">
        <f t="shared" si="31"/>
        <v>0</v>
      </c>
      <c r="AX23" s="159">
        <f t="shared" si="32"/>
        <v>0</v>
      </c>
      <c r="AY23" s="159">
        <f t="shared" si="16"/>
        <v>0</v>
      </c>
      <c r="AZ23" s="159">
        <f>IF(AND(SUM($AQ$16:AQ22)&gt;0,SUM($AZ$16:AZ22)&lt;$P$62,$W23&gt;=$P$65),$P$64,0)</f>
        <v>54</v>
      </c>
      <c r="BA23" s="159">
        <f>IF(SUM($AQ$17:$AQ22)&gt;0,($P$62-SUM($AZ$17:$AZ22))*$F$65,0)</f>
        <v>16.2</v>
      </c>
      <c r="BB23" s="160">
        <f t="shared" si="33"/>
        <v>0</v>
      </c>
      <c r="BC23" s="156">
        <f t="shared" si="34"/>
        <v>0</v>
      </c>
      <c r="BD23" s="157">
        <f t="shared" si="17"/>
        <v>0</v>
      </c>
      <c r="BE23" s="48"/>
      <c r="BF23" s="46">
        <f t="shared" si="35"/>
        <v>0.7886540447000282</v>
      </c>
      <c r="BH23" s="155">
        <f t="shared" si="36"/>
        <v>0</v>
      </c>
      <c r="BI23" s="155">
        <f t="shared" si="37"/>
        <v>0</v>
      </c>
      <c r="BJ23" s="156">
        <f t="shared" si="38"/>
        <v>0</v>
      </c>
      <c r="BK23" s="156">
        <f t="shared" si="39"/>
        <v>0</v>
      </c>
      <c r="BL23" s="156">
        <f t="shared" si="40"/>
        <v>0</v>
      </c>
      <c r="BM23" s="156">
        <f t="shared" si="18"/>
        <v>0</v>
      </c>
      <c r="BN23" s="157">
        <f t="shared" si="41"/>
        <v>0</v>
      </c>
      <c r="BO23" s="156">
        <f t="shared" si="19"/>
        <v>0</v>
      </c>
      <c r="BP23" s="156">
        <f t="shared" si="20"/>
        <v>0</v>
      </c>
      <c r="BQ23" s="156">
        <f t="shared" si="21"/>
        <v>0</v>
      </c>
      <c r="BR23" s="156">
        <f t="shared" si="22"/>
        <v>0</v>
      </c>
      <c r="BS23" s="228">
        <f t="shared" si="42"/>
        <v>0</v>
      </c>
      <c r="BT23" s="156">
        <f t="shared" si="23"/>
        <v>0</v>
      </c>
      <c r="BU23" s="157">
        <f t="shared" si="43"/>
        <v>0</v>
      </c>
      <c r="BV23" s="157">
        <f t="shared" si="24"/>
        <v>0</v>
      </c>
      <c r="BW23" s="153"/>
      <c r="BX23" s="158">
        <f t="shared" si="25"/>
        <v>0</v>
      </c>
      <c r="BY23" s="286">
        <f t="shared" si="44"/>
        <v>0</v>
      </c>
      <c r="CA23"/>
    </row>
    <row r="24" spans="1:79" ht="15.75" customHeight="1">
      <c r="C24" t="s">
        <v>26</v>
      </c>
      <c r="F24" s="198">
        <f>事業費用概算!J34</f>
        <v>1.9999999999999997E-2</v>
      </c>
      <c r="V24" s="58">
        <f t="shared" si="26"/>
        <v>48304</v>
      </c>
      <c r="W24" s="6">
        <v>8</v>
      </c>
      <c r="X24" s="6" t="str">
        <f t="shared" si="27"/>
        <v>-</v>
      </c>
      <c r="Y24" s="161">
        <f t="shared" si="0"/>
        <v>0</v>
      </c>
      <c r="Z24" s="159">
        <f t="shared" si="1"/>
        <v>0</v>
      </c>
      <c r="AA24" s="159">
        <f t="shared" si="2"/>
        <v>0</v>
      </c>
      <c r="AB24" s="159">
        <f t="shared" si="3"/>
        <v>0</v>
      </c>
      <c r="AC24" s="160">
        <f t="shared" si="28"/>
        <v>0</v>
      </c>
      <c r="AD24" s="161">
        <f t="shared" si="4"/>
        <v>0</v>
      </c>
      <c r="AE24" s="159">
        <f t="shared" si="5"/>
        <v>0</v>
      </c>
      <c r="AF24" s="159">
        <f t="shared" si="6"/>
        <v>0</v>
      </c>
      <c r="AG24" s="159">
        <f>IF(AND(SUM($AA$16:AA23)&gt;0,SUM($AG$16:AG23)&lt;$O$62,$W24&gt;=$O$65),$O$64,0)</f>
        <v>64.125</v>
      </c>
      <c r="AH24" s="156">
        <f>IF(SUM($AA$17:$AA23)&gt;0,($O$62-SUM($AG$17:$AG23))*$F$65,0)</f>
        <v>18.275624999999998</v>
      </c>
      <c r="AI24" s="160">
        <f t="shared" si="29"/>
        <v>0</v>
      </c>
      <c r="AJ24" s="156">
        <f t="shared" si="7"/>
        <v>0</v>
      </c>
      <c r="AK24" s="158">
        <f>(SUM($P$31,$P$51)-SUM($AU$17:AU23))*$O$109</f>
        <v>0</v>
      </c>
      <c r="AL24" s="163"/>
      <c r="AM24" s="157">
        <f t="shared" si="8"/>
        <v>0</v>
      </c>
      <c r="AN24" s="164"/>
      <c r="AO24" s="155">
        <f t="shared" si="9"/>
        <v>0</v>
      </c>
      <c r="AP24" s="156">
        <f t="shared" si="10"/>
        <v>0</v>
      </c>
      <c r="AQ24" s="156">
        <f t="shared" si="11"/>
        <v>0</v>
      </c>
      <c r="AR24" s="159">
        <f t="shared" si="12"/>
        <v>0</v>
      </c>
      <c r="AS24" s="160">
        <f t="shared" si="30"/>
        <v>0</v>
      </c>
      <c r="AT24" s="159">
        <f t="shared" si="13"/>
        <v>0</v>
      </c>
      <c r="AU24" s="159">
        <f t="shared" si="14"/>
        <v>0</v>
      </c>
      <c r="AV24" s="159">
        <f t="shared" si="15"/>
        <v>0</v>
      </c>
      <c r="AW24" s="159">
        <f t="shared" si="31"/>
        <v>0</v>
      </c>
      <c r="AX24" s="159">
        <f t="shared" si="32"/>
        <v>0</v>
      </c>
      <c r="AY24" s="159">
        <f t="shared" si="16"/>
        <v>0</v>
      </c>
      <c r="AZ24" s="159">
        <f>IF(AND(SUM($AQ$16:AQ23)&gt;0,SUM($AZ$16:AZ23)&lt;$P$62,$W24&gt;=$P$65),$P$64,0)</f>
        <v>54</v>
      </c>
      <c r="BA24" s="159">
        <f>IF(SUM($AQ$17:$AQ23)&gt;0,($P$62-SUM($AZ$17:$AZ23))*$F$65,0)</f>
        <v>15.389999999999999</v>
      </c>
      <c r="BB24" s="160">
        <f t="shared" si="33"/>
        <v>0</v>
      </c>
      <c r="BC24" s="156">
        <f t="shared" si="34"/>
        <v>0</v>
      </c>
      <c r="BD24" s="157">
        <f t="shared" si="17"/>
        <v>0</v>
      </c>
      <c r="BE24" s="48"/>
      <c r="BF24" s="46">
        <f t="shared" si="35"/>
        <v>0.76235287066218294</v>
      </c>
      <c r="BH24" s="155">
        <f t="shared" si="36"/>
        <v>0</v>
      </c>
      <c r="BI24" s="155">
        <f t="shared" si="37"/>
        <v>0</v>
      </c>
      <c r="BJ24" s="156">
        <f t="shared" si="38"/>
        <v>0</v>
      </c>
      <c r="BK24" s="156">
        <f t="shared" si="39"/>
        <v>0</v>
      </c>
      <c r="BL24" s="156">
        <f t="shared" si="40"/>
        <v>0</v>
      </c>
      <c r="BM24" s="156">
        <f t="shared" si="18"/>
        <v>0</v>
      </c>
      <c r="BN24" s="157">
        <f t="shared" si="41"/>
        <v>0</v>
      </c>
      <c r="BO24" s="156">
        <f t="shared" si="19"/>
        <v>0</v>
      </c>
      <c r="BP24" s="156">
        <f t="shared" si="20"/>
        <v>0</v>
      </c>
      <c r="BQ24" s="156">
        <f t="shared" si="21"/>
        <v>0</v>
      </c>
      <c r="BR24" s="156">
        <f t="shared" si="22"/>
        <v>0</v>
      </c>
      <c r="BS24" s="228">
        <f t="shared" si="42"/>
        <v>0</v>
      </c>
      <c r="BT24" s="156">
        <f t="shared" si="23"/>
        <v>0</v>
      </c>
      <c r="BU24" s="157">
        <f t="shared" si="43"/>
        <v>0</v>
      </c>
      <c r="BV24" s="157">
        <f t="shared" si="24"/>
        <v>0</v>
      </c>
      <c r="BW24" s="153"/>
      <c r="BX24" s="158">
        <f t="shared" si="25"/>
        <v>0</v>
      </c>
      <c r="BY24" s="286">
        <f t="shared" si="44"/>
        <v>0</v>
      </c>
      <c r="CA24"/>
    </row>
    <row r="25" spans="1:79" ht="15.75" customHeight="1">
      <c r="V25" s="58">
        <f t="shared" si="26"/>
        <v>48669</v>
      </c>
      <c r="W25" s="6">
        <v>9</v>
      </c>
      <c r="X25" s="6" t="str">
        <f t="shared" si="27"/>
        <v>-</v>
      </c>
      <c r="Y25" s="161">
        <f t="shared" si="0"/>
        <v>0</v>
      </c>
      <c r="Z25" s="159">
        <f t="shared" si="1"/>
        <v>0</v>
      </c>
      <c r="AA25" s="159">
        <f t="shared" si="2"/>
        <v>0</v>
      </c>
      <c r="AB25" s="159">
        <f t="shared" si="3"/>
        <v>0</v>
      </c>
      <c r="AC25" s="160">
        <f t="shared" si="28"/>
        <v>0</v>
      </c>
      <c r="AD25" s="161">
        <f t="shared" si="4"/>
        <v>0</v>
      </c>
      <c r="AE25" s="159">
        <f t="shared" si="5"/>
        <v>0</v>
      </c>
      <c r="AF25" s="159">
        <f t="shared" si="6"/>
        <v>0</v>
      </c>
      <c r="AG25" s="159">
        <f>IF(AND(SUM($AA$16:AA24)&gt;0,SUM($AG$16:AG24)&lt;$O$62,$W25&gt;=$O$65),$O$64,0)</f>
        <v>64.125</v>
      </c>
      <c r="AH25" s="156">
        <f>IF(SUM($AA$17:$AA24)&gt;0,($O$62-SUM($AG$17:$AG24))*$F$65,0)</f>
        <v>17.313749999999999</v>
      </c>
      <c r="AI25" s="160">
        <f t="shared" si="29"/>
        <v>0</v>
      </c>
      <c r="AJ25" s="156">
        <f t="shared" si="7"/>
        <v>0</v>
      </c>
      <c r="AK25" s="158">
        <f>(SUM($P$31,$P$51)-SUM($AU$17:AU24))*$O$109</f>
        <v>0</v>
      </c>
      <c r="AL25" s="163"/>
      <c r="AM25" s="157">
        <f t="shared" si="8"/>
        <v>0</v>
      </c>
      <c r="AN25" s="164"/>
      <c r="AO25" s="155">
        <f t="shared" si="9"/>
        <v>0</v>
      </c>
      <c r="AP25" s="156">
        <f t="shared" si="10"/>
        <v>0</v>
      </c>
      <c r="AQ25" s="156">
        <f t="shared" si="11"/>
        <v>0</v>
      </c>
      <c r="AR25" s="159">
        <f t="shared" si="12"/>
        <v>0</v>
      </c>
      <c r="AS25" s="160">
        <f t="shared" si="30"/>
        <v>0</v>
      </c>
      <c r="AT25" s="159">
        <f t="shared" si="13"/>
        <v>0</v>
      </c>
      <c r="AU25" s="159">
        <f t="shared" si="14"/>
        <v>0</v>
      </c>
      <c r="AV25" s="159">
        <f t="shared" si="15"/>
        <v>0</v>
      </c>
      <c r="AW25" s="159">
        <f t="shared" si="31"/>
        <v>0</v>
      </c>
      <c r="AX25" s="159">
        <f t="shared" si="32"/>
        <v>0</v>
      </c>
      <c r="AY25" s="159">
        <f t="shared" si="16"/>
        <v>0</v>
      </c>
      <c r="AZ25" s="159">
        <f>IF(AND(SUM($AQ$16:AQ24)&gt;0,SUM($AZ$16:AZ24)&lt;$P$62,$W25&gt;=$P$65),$P$64,0)</f>
        <v>54</v>
      </c>
      <c r="BA25" s="159">
        <f>IF(SUM($AQ$17:$AQ24)&gt;0,($P$62-SUM($AZ$17:$AZ24))*$F$65,0)</f>
        <v>14.58</v>
      </c>
      <c r="BB25" s="160">
        <f t="shared" si="33"/>
        <v>0</v>
      </c>
      <c r="BC25" s="156">
        <f t="shared" si="34"/>
        <v>0</v>
      </c>
      <c r="BD25" s="157">
        <f t="shared" si="17"/>
        <v>0</v>
      </c>
      <c r="BE25" s="48"/>
      <c r="BF25" s="46">
        <f t="shared" si="35"/>
        <v>0.73692882615967414</v>
      </c>
      <c r="BH25" s="155">
        <f t="shared" si="36"/>
        <v>0</v>
      </c>
      <c r="BI25" s="155">
        <f t="shared" si="37"/>
        <v>0</v>
      </c>
      <c r="BJ25" s="156">
        <f t="shared" si="38"/>
        <v>0</v>
      </c>
      <c r="BK25" s="156">
        <f t="shared" si="39"/>
        <v>0</v>
      </c>
      <c r="BL25" s="156">
        <f t="shared" si="40"/>
        <v>0</v>
      </c>
      <c r="BM25" s="156">
        <f t="shared" si="18"/>
        <v>0</v>
      </c>
      <c r="BN25" s="157">
        <f t="shared" si="41"/>
        <v>0</v>
      </c>
      <c r="BO25" s="156">
        <f t="shared" si="19"/>
        <v>0</v>
      </c>
      <c r="BP25" s="156">
        <f t="shared" si="20"/>
        <v>0</v>
      </c>
      <c r="BQ25" s="156">
        <f t="shared" si="21"/>
        <v>0</v>
      </c>
      <c r="BR25" s="156">
        <f t="shared" si="22"/>
        <v>0</v>
      </c>
      <c r="BS25" s="228">
        <f t="shared" si="42"/>
        <v>0</v>
      </c>
      <c r="BT25" s="156">
        <f t="shared" si="23"/>
        <v>0</v>
      </c>
      <c r="BU25" s="157">
        <f t="shared" si="43"/>
        <v>0</v>
      </c>
      <c r="BV25" s="157">
        <f t="shared" si="24"/>
        <v>0</v>
      </c>
      <c r="BW25" s="153"/>
      <c r="BX25" s="158">
        <f t="shared" si="25"/>
        <v>0</v>
      </c>
      <c r="BY25" s="286">
        <f t="shared" si="44"/>
        <v>0</v>
      </c>
      <c r="CA25"/>
    </row>
    <row r="26" spans="1:79" ht="13.5" customHeight="1">
      <c r="V26" s="58">
        <f t="shared" si="26"/>
        <v>49034</v>
      </c>
      <c r="W26" s="6">
        <v>10</v>
      </c>
      <c r="X26" s="6" t="str">
        <f t="shared" si="27"/>
        <v>-</v>
      </c>
      <c r="Y26" s="161">
        <f t="shared" si="0"/>
        <v>0</v>
      </c>
      <c r="Z26" s="159">
        <f t="shared" si="1"/>
        <v>0</v>
      </c>
      <c r="AA26" s="159">
        <f t="shared" si="2"/>
        <v>0</v>
      </c>
      <c r="AB26" s="159">
        <f t="shared" si="3"/>
        <v>0</v>
      </c>
      <c r="AC26" s="160">
        <f t="shared" si="28"/>
        <v>0</v>
      </c>
      <c r="AD26" s="161">
        <f t="shared" si="4"/>
        <v>0</v>
      </c>
      <c r="AE26" s="159">
        <f t="shared" si="5"/>
        <v>0</v>
      </c>
      <c r="AF26" s="159">
        <f t="shared" si="6"/>
        <v>0</v>
      </c>
      <c r="AG26" s="159">
        <f>IF(AND(SUM($AA$16:AA25)&gt;0,SUM($AG$16:AG25)&lt;$O$62,$W26&gt;=$O$65),$O$64,0)</f>
        <v>64.125</v>
      </c>
      <c r="AH26" s="156">
        <f>IF(SUM($AA$17:$AA25)&gt;0,($O$62-SUM($AG$17:$AG25))*$F$65,0)</f>
        <v>16.351875</v>
      </c>
      <c r="AI26" s="160">
        <f t="shared" si="29"/>
        <v>0</v>
      </c>
      <c r="AJ26" s="156">
        <f t="shared" si="7"/>
        <v>0</v>
      </c>
      <c r="AK26" s="158">
        <f>(SUM($P$31,$P$51)-SUM($AU$17:AU25))*$O$109</f>
        <v>0</v>
      </c>
      <c r="AL26" s="163"/>
      <c r="AM26" s="157">
        <f t="shared" si="8"/>
        <v>0</v>
      </c>
      <c r="AN26" s="164"/>
      <c r="AO26" s="155">
        <f t="shared" si="9"/>
        <v>0</v>
      </c>
      <c r="AP26" s="156">
        <f t="shared" si="10"/>
        <v>0</v>
      </c>
      <c r="AQ26" s="156">
        <f t="shared" si="11"/>
        <v>0</v>
      </c>
      <c r="AR26" s="159">
        <f t="shared" si="12"/>
        <v>0</v>
      </c>
      <c r="AS26" s="160">
        <f t="shared" si="30"/>
        <v>0</v>
      </c>
      <c r="AT26" s="159">
        <f t="shared" si="13"/>
        <v>0</v>
      </c>
      <c r="AU26" s="159">
        <f t="shared" si="14"/>
        <v>0</v>
      </c>
      <c r="AV26" s="159">
        <f t="shared" si="15"/>
        <v>0</v>
      </c>
      <c r="AW26" s="159">
        <f t="shared" si="31"/>
        <v>0</v>
      </c>
      <c r="AX26" s="159">
        <f t="shared" si="32"/>
        <v>0</v>
      </c>
      <c r="AY26" s="159">
        <f t="shared" si="16"/>
        <v>0</v>
      </c>
      <c r="AZ26" s="159">
        <f>IF(AND(SUM($AQ$16:AQ25)&gt;0,SUM($AZ$16:AZ25)&lt;$P$62,$W26&gt;=$P$65),$P$64,0)</f>
        <v>54</v>
      </c>
      <c r="BA26" s="159">
        <f>IF(SUM($AQ$17:$AQ25)&gt;0,($P$62-SUM($AZ$17:$AZ25))*$F$65,0)</f>
        <v>13.77</v>
      </c>
      <c r="BB26" s="160">
        <f t="shared" si="33"/>
        <v>0</v>
      </c>
      <c r="BC26" s="156">
        <f t="shared" si="34"/>
        <v>0</v>
      </c>
      <c r="BD26" s="157">
        <f t="shared" si="17"/>
        <v>0</v>
      </c>
      <c r="BE26" s="48"/>
      <c r="BF26" s="46">
        <f t="shared" si="35"/>
        <v>0.71235265941002823</v>
      </c>
      <c r="BH26" s="155">
        <f t="shared" si="36"/>
        <v>0</v>
      </c>
      <c r="BI26" s="155">
        <f t="shared" si="37"/>
        <v>0</v>
      </c>
      <c r="BJ26" s="156">
        <f t="shared" si="38"/>
        <v>0</v>
      </c>
      <c r="BK26" s="156">
        <f t="shared" si="39"/>
        <v>0</v>
      </c>
      <c r="BL26" s="156">
        <f t="shared" si="40"/>
        <v>0</v>
      </c>
      <c r="BM26" s="156">
        <f t="shared" si="18"/>
        <v>0</v>
      </c>
      <c r="BN26" s="157">
        <f t="shared" si="41"/>
        <v>0</v>
      </c>
      <c r="BO26" s="156">
        <f t="shared" si="19"/>
        <v>0</v>
      </c>
      <c r="BP26" s="156">
        <f t="shared" si="20"/>
        <v>0</v>
      </c>
      <c r="BQ26" s="156">
        <f t="shared" si="21"/>
        <v>0</v>
      </c>
      <c r="BR26" s="156">
        <f t="shared" si="22"/>
        <v>0</v>
      </c>
      <c r="BS26" s="228">
        <f t="shared" si="42"/>
        <v>0</v>
      </c>
      <c r="BT26" s="156">
        <f t="shared" si="23"/>
        <v>0</v>
      </c>
      <c r="BU26" s="157">
        <f t="shared" si="43"/>
        <v>0</v>
      </c>
      <c r="BV26" s="157">
        <f t="shared" si="24"/>
        <v>0</v>
      </c>
      <c r="BW26" s="153"/>
      <c r="BX26" s="158">
        <f t="shared" si="25"/>
        <v>0</v>
      </c>
      <c r="BY26" s="286">
        <f t="shared" si="44"/>
        <v>0</v>
      </c>
      <c r="CA26"/>
    </row>
    <row r="27" spans="1:79" ht="15.75" customHeight="1">
      <c r="A27" s="4" t="s">
        <v>118</v>
      </c>
      <c r="H27" s="72"/>
      <c r="I27" s="72"/>
      <c r="J27" s="4" t="s">
        <v>122</v>
      </c>
      <c r="V27" s="58">
        <f t="shared" si="26"/>
        <v>49399</v>
      </c>
      <c r="W27" s="6">
        <v>11</v>
      </c>
      <c r="X27" s="6" t="str">
        <f t="shared" si="27"/>
        <v>-</v>
      </c>
      <c r="Y27" s="161">
        <f t="shared" si="0"/>
        <v>0</v>
      </c>
      <c r="Z27" s="159">
        <f t="shared" si="1"/>
        <v>0</v>
      </c>
      <c r="AA27" s="159">
        <f t="shared" si="2"/>
        <v>0</v>
      </c>
      <c r="AB27" s="159">
        <f t="shared" si="3"/>
        <v>0</v>
      </c>
      <c r="AC27" s="160">
        <f t="shared" si="28"/>
        <v>0</v>
      </c>
      <c r="AD27" s="161">
        <f t="shared" si="4"/>
        <v>0</v>
      </c>
      <c r="AE27" s="159">
        <f t="shared" si="5"/>
        <v>0</v>
      </c>
      <c r="AF27" s="159">
        <f t="shared" si="6"/>
        <v>0</v>
      </c>
      <c r="AG27" s="159">
        <f>IF(AND(SUM($AA$16:AA26)&gt;0,SUM($AG$16:AG26)&lt;$O$62,$W27&gt;=$O$65),$O$64,0)</f>
        <v>64.125</v>
      </c>
      <c r="AH27" s="156">
        <f>IF(SUM($AA$17:$AA26)&gt;0,($O$62-SUM($AG$17:$AG26))*$F$65,0)</f>
        <v>15.389999999999999</v>
      </c>
      <c r="AI27" s="160">
        <f t="shared" si="29"/>
        <v>0</v>
      </c>
      <c r="AJ27" s="156">
        <f t="shared" si="7"/>
        <v>0</v>
      </c>
      <c r="AK27" s="158">
        <f>(SUM($P$31,$P$51)-SUM($AU$17:AU26))*$O$109</f>
        <v>0</v>
      </c>
      <c r="AL27" s="163"/>
      <c r="AM27" s="157">
        <f t="shared" si="8"/>
        <v>0</v>
      </c>
      <c r="AN27" s="164"/>
      <c r="AO27" s="155">
        <f t="shared" si="9"/>
        <v>0</v>
      </c>
      <c r="AP27" s="156">
        <f t="shared" si="10"/>
        <v>0</v>
      </c>
      <c r="AQ27" s="156">
        <f t="shared" si="11"/>
        <v>0</v>
      </c>
      <c r="AR27" s="159">
        <f t="shared" si="12"/>
        <v>0</v>
      </c>
      <c r="AS27" s="160">
        <f t="shared" si="30"/>
        <v>0</v>
      </c>
      <c r="AT27" s="159">
        <f t="shared" si="13"/>
        <v>0</v>
      </c>
      <c r="AU27" s="159">
        <f t="shared" si="14"/>
        <v>0</v>
      </c>
      <c r="AV27" s="159">
        <f t="shared" si="15"/>
        <v>0</v>
      </c>
      <c r="AW27" s="159">
        <f t="shared" si="31"/>
        <v>0</v>
      </c>
      <c r="AX27" s="159">
        <f t="shared" si="32"/>
        <v>0</v>
      </c>
      <c r="AY27" s="159">
        <f t="shared" si="16"/>
        <v>0</v>
      </c>
      <c r="AZ27" s="159">
        <f>IF(AND(SUM($AQ$16:AQ26)&gt;0,SUM($AZ$16:AZ26)&lt;$P$62,$W27&gt;=$P$65),$P$64,0)</f>
        <v>54</v>
      </c>
      <c r="BA27" s="159">
        <f>IF(SUM($AQ$17:$AQ26)&gt;0,($P$62-SUM($AZ$17:$AZ26))*$F$65,0)</f>
        <v>12.959999999999999</v>
      </c>
      <c r="BB27" s="160">
        <f t="shared" si="33"/>
        <v>0</v>
      </c>
      <c r="BC27" s="156">
        <f t="shared" si="34"/>
        <v>0</v>
      </c>
      <c r="BD27" s="157">
        <f t="shared" si="17"/>
        <v>0</v>
      </c>
      <c r="BE27" s="48"/>
      <c r="BF27" s="46">
        <f t="shared" si="35"/>
        <v>0.68859609416145795</v>
      </c>
      <c r="BH27" s="155">
        <f t="shared" si="36"/>
        <v>0</v>
      </c>
      <c r="BI27" s="155">
        <f t="shared" si="37"/>
        <v>0</v>
      </c>
      <c r="BJ27" s="156">
        <f t="shared" si="38"/>
        <v>0</v>
      </c>
      <c r="BK27" s="156">
        <f t="shared" si="39"/>
        <v>0</v>
      </c>
      <c r="BL27" s="156">
        <f t="shared" si="40"/>
        <v>0</v>
      </c>
      <c r="BM27" s="156">
        <f t="shared" si="18"/>
        <v>0</v>
      </c>
      <c r="BN27" s="157">
        <f t="shared" si="41"/>
        <v>0</v>
      </c>
      <c r="BO27" s="156">
        <f t="shared" si="19"/>
        <v>0</v>
      </c>
      <c r="BP27" s="156">
        <f t="shared" si="20"/>
        <v>0</v>
      </c>
      <c r="BQ27" s="156">
        <f t="shared" si="21"/>
        <v>0</v>
      </c>
      <c r="BR27" s="156">
        <f t="shared" si="22"/>
        <v>0</v>
      </c>
      <c r="BS27" s="228">
        <f t="shared" si="42"/>
        <v>0</v>
      </c>
      <c r="BT27" s="156">
        <f t="shared" si="23"/>
        <v>0</v>
      </c>
      <c r="BU27" s="157">
        <f t="shared" si="43"/>
        <v>0</v>
      </c>
      <c r="BV27" s="157">
        <f t="shared" si="24"/>
        <v>0</v>
      </c>
      <c r="BW27" s="153"/>
      <c r="BX27" s="158">
        <f t="shared" si="25"/>
        <v>0</v>
      </c>
      <c r="BY27" s="286">
        <f t="shared" si="44"/>
        <v>0</v>
      </c>
      <c r="CA27"/>
    </row>
    <row r="28" spans="1:79" ht="15.75" customHeight="1">
      <c r="B28" t="s">
        <v>123</v>
      </c>
      <c r="D28" t="s">
        <v>8</v>
      </c>
      <c r="F28" s="289">
        <f>SUM(F29:F30)</f>
        <v>3000</v>
      </c>
      <c r="J28" s="4" t="s">
        <v>194</v>
      </c>
      <c r="O28" t="s">
        <v>0</v>
      </c>
      <c r="P28" t="s">
        <v>1</v>
      </c>
      <c r="V28" s="58">
        <f t="shared" si="26"/>
        <v>49765</v>
      </c>
      <c r="W28" s="6">
        <v>12</v>
      </c>
      <c r="X28" s="6" t="str">
        <f t="shared" si="27"/>
        <v>-</v>
      </c>
      <c r="Y28" s="161">
        <f t="shared" si="0"/>
        <v>0</v>
      </c>
      <c r="Z28" s="159">
        <f t="shared" si="1"/>
        <v>0</v>
      </c>
      <c r="AA28" s="159">
        <f t="shared" si="2"/>
        <v>0</v>
      </c>
      <c r="AB28" s="159">
        <f t="shared" si="3"/>
        <v>0</v>
      </c>
      <c r="AC28" s="160">
        <f t="shared" si="28"/>
        <v>0</v>
      </c>
      <c r="AD28" s="161">
        <f t="shared" si="4"/>
        <v>0</v>
      </c>
      <c r="AE28" s="159">
        <f t="shared" si="5"/>
        <v>0</v>
      </c>
      <c r="AF28" s="159">
        <f t="shared" si="6"/>
        <v>0</v>
      </c>
      <c r="AG28" s="159">
        <f>IF(AND(SUM($AA$16:AA27)&gt;0,SUM($AG$16:AG27)&lt;$O$62,$W28&gt;=$O$65),$O$64,0)</f>
        <v>64.125</v>
      </c>
      <c r="AH28" s="156">
        <f>IF(SUM($AA$17:$AA27)&gt;0,($O$62-SUM($AG$17:$AG27))*$F$65,0)</f>
        <v>14.428125</v>
      </c>
      <c r="AI28" s="160">
        <f t="shared" si="29"/>
        <v>0</v>
      </c>
      <c r="AJ28" s="156">
        <f t="shared" si="7"/>
        <v>0</v>
      </c>
      <c r="AK28" s="158">
        <f>(SUM($P$31,$P$51)-SUM($AU$17:AU27))*$O$109</f>
        <v>0</v>
      </c>
      <c r="AL28" s="163"/>
      <c r="AM28" s="157">
        <f t="shared" si="8"/>
        <v>0</v>
      </c>
      <c r="AN28" s="164"/>
      <c r="AO28" s="155">
        <f t="shared" si="9"/>
        <v>0</v>
      </c>
      <c r="AP28" s="156">
        <f t="shared" si="10"/>
        <v>0</v>
      </c>
      <c r="AQ28" s="156">
        <f t="shared" si="11"/>
        <v>0</v>
      </c>
      <c r="AR28" s="159">
        <f t="shared" si="12"/>
        <v>0</v>
      </c>
      <c r="AS28" s="160">
        <f t="shared" si="30"/>
        <v>0</v>
      </c>
      <c r="AT28" s="159">
        <f t="shared" si="13"/>
        <v>0</v>
      </c>
      <c r="AU28" s="159">
        <f t="shared" si="14"/>
        <v>0</v>
      </c>
      <c r="AV28" s="159">
        <f t="shared" si="15"/>
        <v>0</v>
      </c>
      <c r="AW28" s="159">
        <f t="shared" si="31"/>
        <v>0</v>
      </c>
      <c r="AX28" s="159">
        <f t="shared" si="32"/>
        <v>0</v>
      </c>
      <c r="AY28" s="159">
        <f t="shared" si="16"/>
        <v>0</v>
      </c>
      <c r="AZ28" s="159">
        <f>IF(AND(SUM($AQ$16:AQ27)&gt;0,SUM($AZ$16:AZ27)&lt;$P$62,$W28&gt;=$P$65),$P$64,0)</f>
        <v>54</v>
      </c>
      <c r="BA28" s="159">
        <f>IF(SUM($AQ$17:$AQ27)&gt;0,($P$62-SUM($AZ$17:$AZ27))*$F$65,0)</f>
        <v>12.15</v>
      </c>
      <c r="BB28" s="160">
        <f t="shared" si="33"/>
        <v>0</v>
      </c>
      <c r="BC28" s="156">
        <f t="shared" si="34"/>
        <v>0</v>
      </c>
      <c r="BD28" s="157">
        <f t="shared" si="17"/>
        <v>0</v>
      </c>
      <c r="BE28" s="48"/>
      <c r="BF28" s="46">
        <f t="shared" si="35"/>
        <v>0.66563179715945675</v>
      </c>
      <c r="BH28" s="155">
        <f t="shared" si="36"/>
        <v>0</v>
      </c>
      <c r="BI28" s="155">
        <f t="shared" si="37"/>
        <v>0</v>
      </c>
      <c r="BJ28" s="156">
        <f t="shared" si="38"/>
        <v>0</v>
      </c>
      <c r="BK28" s="156">
        <f t="shared" si="39"/>
        <v>0</v>
      </c>
      <c r="BL28" s="156">
        <f t="shared" si="40"/>
        <v>0</v>
      </c>
      <c r="BM28" s="156">
        <f t="shared" si="18"/>
        <v>0</v>
      </c>
      <c r="BN28" s="157">
        <f t="shared" si="41"/>
        <v>0</v>
      </c>
      <c r="BO28" s="156">
        <f t="shared" si="19"/>
        <v>0</v>
      </c>
      <c r="BP28" s="156">
        <f t="shared" si="20"/>
        <v>0</v>
      </c>
      <c r="BQ28" s="156">
        <f t="shared" si="21"/>
        <v>0</v>
      </c>
      <c r="BR28" s="156">
        <f t="shared" si="22"/>
        <v>0</v>
      </c>
      <c r="BS28" s="228">
        <f t="shared" si="42"/>
        <v>0</v>
      </c>
      <c r="BT28" s="156">
        <f t="shared" si="23"/>
        <v>0</v>
      </c>
      <c r="BU28" s="157">
        <f t="shared" si="43"/>
        <v>0</v>
      </c>
      <c r="BV28" s="157">
        <f t="shared" si="24"/>
        <v>0</v>
      </c>
      <c r="BW28" s="153"/>
      <c r="BX28" s="158">
        <f t="shared" si="25"/>
        <v>0</v>
      </c>
      <c r="BY28" s="286">
        <f t="shared" si="44"/>
        <v>0</v>
      </c>
      <c r="CA28"/>
    </row>
    <row r="29" spans="1:79" ht="15.75" customHeight="1">
      <c r="C29" s="2" t="s">
        <v>72</v>
      </c>
      <c r="D29" t="s">
        <v>8</v>
      </c>
      <c r="F29" s="290">
        <f>事業費用概算!G6</f>
        <v>0</v>
      </c>
      <c r="K29" t="s">
        <v>29</v>
      </c>
      <c r="N29" s="19" t="s">
        <v>8</v>
      </c>
      <c r="O29" s="52">
        <f>F30*$F$50+F29</f>
        <v>2850</v>
      </c>
      <c r="P29" s="52">
        <f>F28*(1-F51)</f>
        <v>2400</v>
      </c>
      <c r="Q29" t="s">
        <v>59</v>
      </c>
      <c r="V29" s="58">
        <f t="shared" si="26"/>
        <v>50130</v>
      </c>
      <c r="W29" s="6">
        <v>13</v>
      </c>
      <c r="X29" s="6" t="str">
        <f t="shared" si="27"/>
        <v>-</v>
      </c>
      <c r="Y29" s="161">
        <f t="shared" si="0"/>
        <v>0</v>
      </c>
      <c r="Z29" s="159">
        <f t="shared" si="1"/>
        <v>0</v>
      </c>
      <c r="AA29" s="159">
        <f t="shared" si="2"/>
        <v>0</v>
      </c>
      <c r="AB29" s="159">
        <f t="shared" si="3"/>
        <v>0</v>
      </c>
      <c r="AC29" s="160">
        <f t="shared" si="28"/>
        <v>0</v>
      </c>
      <c r="AD29" s="161">
        <f t="shared" si="4"/>
        <v>0</v>
      </c>
      <c r="AE29" s="159">
        <f t="shared" si="5"/>
        <v>0</v>
      </c>
      <c r="AF29" s="159">
        <f t="shared" si="6"/>
        <v>0</v>
      </c>
      <c r="AG29" s="159">
        <f>IF(AND(SUM($AA$16:AA28)&gt;0,SUM($AG$16:AG28)&lt;$O$62,$W29&gt;=$O$65),$O$64,0)</f>
        <v>64.125</v>
      </c>
      <c r="AH29" s="156">
        <f>IF(SUM($AA$17:$AA28)&gt;0,($O$62-SUM($AG$17:$AG28))*$F$65,0)</f>
        <v>13.466249999999999</v>
      </c>
      <c r="AI29" s="160">
        <f t="shared" si="29"/>
        <v>0</v>
      </c>
      <c r="AJ29" s="156">
        <f t="shared" si="7"/>
        <v>0</v>
      </c>
      <c r="AK29" s="158">
        <f>(SUM($P$31,$P$51)-SUM($AU$17:AU28))*$O$109</f>
        <v>0</v>
      </c>
      <c r="AL29" s="163"/>
      <c r="AM29" s="157">
        <f t="shared" si="8"/>
        <v>0</v>
      </c>
      <c r="AN29" s="164"/>
      <c r="AO29" s="155">
        <f t="shared" si="9"/>
        <v>0</v>
      </c>
      <c r="AP29" s="156">
        <f t="shared" si="10"/>
        <v>0</v>
      </c>
      <c r="AQ29" s="156">
        <f t="shared" si="11"/>
        <v>0</v>
      </c>
      <c r="AR29" s="159">
        <f t="shared" si="12"/>
        <v>0</v>
      </c>
      <c r="AS29" s="160">
        <f t="shared" si="30"/>
        <v>0</v>
      </c>
      <c r="AT29" s="159">
        <f t="shared" si="13"/>
        <v>0</v>
      </c>
      <c r="AU29" s="159">
        <f t="shared" si="14"/>
        <v>0</v>
      </c>
      <c r="AV29" s="159">
        <f t="shared" si="15"/>
        <v>0</v>
      </c>
      <c r="AW29" s="159">
        <f t="shared" si="31"/>
        <v>0</v>
      </c>
      <c r="AX29" s="159">
        <f t="shared" si="32"/>
        <v>0</v>
      </c>
      <c r="AY29" s="159">
        <f t="shared" si="16"/>
        <v>0</v>
      </c>
      <c r="AZ29" s="159">
        <f>IF(AND(SUM($AQ$16:AQ28)&gt;0,SUM($AZ$16:AZ28)&lt;$P$62,$W29&gt;=$P$65),$P$64,0)</f>
        <v>54</v>
      </c>
      <c r="BA29" s="159">
        <f>IF(SUM($AQ$17:$AQ28)&gt;0,($P$62-SUM($AZ$17:$AZ28))*$F$65,0)</f>
        <v>11.34</v>
      </c>
      <c r="BB29" s="160">
        <f t="shared" si="33"/>
        <v>0</v>
      </c>
      <c r="BC29" s="156">
        <f t="shared" si="34"/>
        <v>0</v>
      </c>
      <c r="BD29" s="157">
        <f t="shared" si="17"/>
        <v>0</v>
      </c>
      <c r="BE29" s="48"/>
      <c r="BF29" s="46">
        <f t="shared" si="35"/>
        <v>0.64343334669836327</v>
      </c>
      <c r="BH29" s="155">
        <f t="shared" si="36"/>
        <v>0</v>
      </c>
      <c r="BI29" s="155">
        <f t="shared" si="37"/>
        <v>0</v>
      </c>
      <c r="BJ29" s="156">
        <f t="shared" si="38"/>
        <v>0</v>
      </c>
      <c r="BK29" s="156">
        <f t="shared" si="39"/>
        <v>0</v>
      </c>
      <c r="BL29" s="156">
        <f t="shared" si="40"/>
        <v>0</v>
      </c>
      <c r="BM29" s="156">
        <f t="shared" si="18"/>
        <v>0</v>
      </c>
      <c r="BN29" s="157">
        <f t="shared" si="41"/>
        <v>0</v>
      </c>
      <c r="BO29" s="156">
        <f t="shared" si="19"/>
        <v>0</v>
      </c>
      <c r="BP29" s="156">
        <f t="shared" si="20"/>
        <v>0</v>
      </c>
      <c r="BQ29" s="156">
        <f t="shared" si="21"/>
        <v>0</v>
      </c>
      <c r="BR29" s="156">
        <f t="shared" si="22"/>
        <v>0</v>
      </c>
      <c r="BS29" s="228">
        <f t="shared" si="42"/>
        <v>0</v>
      </c>
      <c r="BT29" s="156">
        <f t="shared" si="23"/>
        <v>0</v>
      </c>
      <c r="BU29" s="157">
        <f t="shared" si="43"/>
        <v>0</v>
      </c>
      <c r="BV29" s="157">
        <f t="shared" si="24"/>
        <v>0</v>
      </c>
      <c r="BW29" s="153"/>
      <c r="BX29" s="158">
        <f t="shared" si="25"/>
        <v>0</v>
      </c>
      <c r="BY29" s="286">
        <f t="shared" si="44"/>
        <v>0</v>
      </c>
      <c r="CA29"/>
    </row>
    <row r="30" spans="1:79" ht="15.75" customHeight="1">
      <c r="C30" s="2" t="s">
        <v>195</v>
      </c>
      <c r="D30" t="s">
        <v>8</v>
      </c>
      <c r="F30" s="290">
        <f>事業費用概算!G7</f>
        <v>3000</v>
      </c>
      <c r="M30" s="56" t="s">
        <v>43</v>
      </c>
      <c r="N30" s="19" t="s">
        <v>8</v>
      </c>
      <c r="O30" s="51">
        <f>O29*E32</f>
        <v>2850</v>
      </c>
      <c r="P30" s="51">
        <f>$P$29*F32</f>
        <v>2400</v>
      </c>
      <c r="V30" s="58">
        <f t="shared" si="26"/>
        <v>50495</v>
      </c>
      <c r="W30" s="6">
        <v>14</v>
      </c>
      <c r="X30" s="6" t="str">
        <f t="shared" si="27"/>
        <v>-</v>
      </c>
      <c r="Y30" s="161">
        <f t="shared" si="0"/>
        <v>0</v>
      </c>
      <c r="Z30" s="159">
        <f t="shared" si="1"/>
        <v>0</v>
      </c>
      <c r="AA30" s="159">
        <f t="shared" si="2"/>
        <v>0</v>
      </c>
      <c r="AB30" s="159">
        <f t="shared" si="3"/>
        <v>0</v>
      </c>
      <c r="AC30" s="160">
        <f t="shared" si="28"/>
        <v>0</v>
      </c>
      <c r="AD30" s="161">
        <f t="shared" si="4"/>
        <v>0</v>
      </c>
      <c r="AE30" s="159">
        <f t="shared" si="5"/>
        <v>0</v>
      </c>
      <c r="AF30" s="159">
        <f t="shared" si="6"/>
        <v>0</v>
      </c>
      <c r="AG30" s="159">
        <f>IF(AND(SUM($AA$16:AA29)&gt;0,SUM($AG$16:AG29)&lt;$O$62,$W30&gt;=$O$65),$O$64,0)</f>
        <v>64.125</v>
      </c>
      <c r="AH30" s="156">
        <f>IF(SUM($AA$17:$AA29)&gt;0,($O$62-SUM($AG$17:$AG29))*$F$65,0)</f>
        <v>12.504375</v>
      </c>
      <c r="AI30" s="160">
        <f t="shared" si="29"/>
        <v>0</v>
      </c>
      <c r="AJ30" s="156">
        <f t="shared" si="7"/>
        <v>0</v>
      </c>
      <c r="AK30" s="158">
        <f>(SUM($P$31,$P$51)-SUM($AU$17:AU29))*$O$109</f>
        <v>0</v>
      </c>
      <c r="AL30" s="163"/>
      <c r="AM30" s="157">
        <f t="shared" si="8"/>
        <v>0</v>
      </c>
      <c r="AN30" s="164"/>
      <c r="AO30" s="155">
        <f t="shared" si="9"/>
        <v>0</v>
      </c>
      <c r="AP30" s="156">
        <f t="shared" si="10"/>
        <v>0</v>
      </c>
      <c r="AQ30" s="156">
        <f t="shared" si="11"/>
        <v>0</v>
      </c>
      <c r="AR30" s="159">
        <f t="shared" si="12"/>
        <v>0</v>
      </c>
      <c r="AS30" s="160">
        <f t="shared" si="30"/>
        <v>0</v>
      </c>
      <c r="AT30" s="159">
        <f t="shared" si="13"/>
        <v>0</v>
      </c>
      <c r="AU30" s="159">
        <f t="shared" si="14"/>
        <v>0</v>
      </c>
      <c r="AV30" s="159">
        <f t="shared" si="15"/>
        <v>0</v>
      </c>
      <c r="AW30" s="159">
        <f t="shared" si="31"/>
        <v>0</v>
      </c>
      <c r="AX30" s="159">
        <f t="shared" si="32"/>
        <v>0</v>
      </c>
      <c r="AY30" s="159">
        <f t="shared" si="16"/>
        <v>0</v>
      </c>
      <c r="AZ30" s="159">
        <f>IF(AND(SUM($AQ$16:AQ29)&gt;0,SUM($AZ$16:AZ29)&lt;$P$62,$W30&gt;=$P$65),$P$64,0)</f>
        <v>54</v>
      </c>
      <c r="BA30" s="159">
        <f>IF(SUM($AQ$17:$AQ29)&gt;0,($P$62-SUM($AZ$17:$AZ29))*$F$65,0)</f>
        <v>10.53</v>
      </c>
      <c r="BB30" s="160">
        <f t="shared" si="33"/>
        <v>0</v>
      </c>
      <c r="BC30" s="156">
        <f t="shared" si="34"/>
        <v>0</v>
      </c>
      <c r="BD30" s="157">
        <f t="shared" si="17"/>
        <v>0</v>
      </c>
      <c r="BE30" s="48"/>
      <c r="BF30" s="46">
        <f t="shared" si="35"/>
        <v>0.6219752022217141</v>
      </c>
      <c r="BH30" s="155">
        <f t="shared" si="36"/>
        <v>0</v>
      </c>
      <c r="BI30" s="155">
        <f t="shared" si="37"/>
        <v>0</v>
      </c>
      <c r="BJ30" s="156">
        <f t="shared" si="38"/>
        <v>0</v>
      </c>
      <c r="BK30" s="156">
        <f t="shared" si="39"/>
        <v>0</v>
      </c>
      <c r="BL30" s="156">
        <f t="shared" si="40"/>
        <v>0</v>
      </c>
      <c r="BM30" s="156">
        <f t="shared" si="18"/>
        <v>0</v>
      </c>
      <c r="BN30" s="157">
        <f t="shared" si="41"/>
        <v>0</v>
      </c>
      <c r="BO30" s="156">
        <f t="shared" si="19"/>
        <v>0</v>
      </c>
      <c r="BP30" s="156">
        <f t="shared" si="20"/>
        <v>0</v>
      </c>
      <c r="BQ30" s="156">
        <f t="shared" si="21"/>
        <v>0</v>
      </c>
      <c r="BR30" s="156">
        <f t="shared" si="22"/>
        <v>0</v>
      </c>
      <c r="BS30" s="228">
        <f t="shared" si="42"/>
        <v>0</v>
      </c>
      <c r="BT30" s="156">
        <f t="shared" si="23"/>
        <v>0</v>
      </c>
      <c r="BU30" s="157">
        <f t="shared" si="43"/>
        <v>0</v>
      </c>
      <c r="BV30" s="157">
        <f t="shared" si="24"/>
        <v>0</v>
      </c>
      <c r="BW30" s="153"/>
      <c r="BX30" s="158">
        <f t="shared" si="25"/>
        <v>0</v>
      </c>
      <c r="BY30" s="286">
        <f t="shared" si="44"/>
        <v>0</v>
      </c>
      <c r="CA30"/>
    </row>
    <row r="31" spans="1:79" ht="15.75" customHeight="1">
      <c r="C31" t="s">
        <v>121</v>
      </c>
      <c r="E31" s="19" t="s">
        <v>0</v>
      </c>
      <c r="F31" s="19" t="s">
        <v>1</v>
      </c>
      <c r="M31" s="56" t="s">
        <v>25</v>
      </c>
      <c r="N31" s="19" t="s">
        <v>8</v>
      </c>
      <c r="O31" s="51">
        <f>O30*E33</f>
        <v>0</v>
      </c>
      <c r="P31" s="51">
        <f>$P$29*F33</f>
        <v>0</v>
      </c>
      <c r="V31" s="58">
        <f t="shared" si="26"/>
        <v>50860</v>
      </c>
      <c r="W31" s="6">
        <v>15</v>
      </c>
      <c r="X31" s="6" t="str">
        <f t="shared" si="27"/>
        <v>-</v>
      </c>
      <c r="Y31" s="161">
        <f t="shared" si="0"/>
        <v>0</v>
      </c>
      <c r="Z31" s="159">
        <f t="shared" si="1"/>
        <v>0</v>
      </c>
      <c r="AA31" s="159">
        <f t="shared" si="2"/>
        <v>0</v>
      </c>
      <c r="AB31" s="159">
        <f t="shared" si="3"/>
        <v>0</v>
      </c>
      <c r="AC31" s="160">
        <f t="shared" si="28"/>
        <v>0</v>
      </c>
      <c r="AD31" s="161">
        <f t="shared" si="4"/>
        <v>0</v>
      </c>
      <c r="AE31" s="159">
        <f t="shared" si="5"/>
        <v>0</v>
      </c>
      <c r="AF31" s="159">
        <f t="shared" si="6"/>
        <v>0</v>
      </c>
      <c r="AG31" s="159">
        <f>IF(AND(SUM($AA$16:AA30)&gt;0,SUM($AG$16:AG30)&lt;$O$62,$W31&gt;=$O$65),$O$64,0)</f>
        <v>64.125</v>
      </c>
      <c r="AH31" s="156">
        <f>IF(SUM($AA$17:$AA30)&gt;0,($O$62-SUM($AG$17:$AG30))*$F$65,0)</f>
        <v>11.5425</v>
      </c>
      <c r="AI31" s="160">
        <f t="shared" si="29"/>
        <v>0</v>
      </c>
      <c r="AJ31" s="156">
        <f t="shared" si="7"/>
        <v>0</v>
      </c>
      <c r="AK31" s="158">
        <f>(SUM($P$31,$P$51)-SUM($AU$17:AU30))*$O$109</f>
        <v>0</v>
      </c>
      <c r="AL31" s="163"/>
      <c r="AM31" s="157">
        <f t="shared" si="8"/>
        <v>0</v>
      </c>
      <c r="AN31" s="164"/>
      <c r="AO31" s="155">
        <f t="shared" si="9"/>
        <v>0</v>
      </c>
      <c r="AP31" s="156">
        <f t="shared" si="10"/>
        <v>0</v>
      </c>
      <c r="AQ31" s="156">
        <f t="shared" si="11"/>
        <v>0</v>
      </c>
      <c r="AR31" s="159">
        <f t="shared" si="12"/>
        <v>0</v>
      </c>
      <c r="AS31" s="160">
        <f t="shared" si="30"/>
        <v>0</v>
      </c>
      <c r="AT31" s="159">
        <f t="shared" si="13"/>
        <v>0</v>
      </c>
      <c r="AU31" s="159">
        <f t="shared" si="14"/>
        <v>0</v>
      </c>
      <c r="AV31" s="159">
        <f t="shared" si="15"/>
        <v>0</v>
      </c>
      <c r="AW31" s="159">
        <f t="shared" si="31"/>
        <v>0</v>
      </c>
      <c r="AX31" s="159">
        <f t="shared" si="32"/>
        <v>0</v>
      </c>
      <c r="AY31" s="159">
        <f t="shared" si="16"/>
        <v>0</v>
      </c>
      <c r="AZ31" s="159">
        <f>IF(AND(SUM($AQ$16:AQ30)&gt;0,SUM($AZ$16:AZ30)&lt;$P$62,$W31&gt;=$P$65),$P$64,0)</f>
        <v>54</v>
      </c>
      <c r="BA31" s="159">
        <f>IF(SUM($AQ$17:$AQ30)&gt;0,($P$62-SUM($AZ$17:$AZ30))*$F$65,0)</f>
        <v>9.7199999999999989</v>
      </c>
      <c r="BB31" s="160">
        <f t="shared" si="33"/>
        <v>0</v>
      </c>
      <c r="BC31" s="156">
        <f t="shared" si="34"/>
        <v>0</v>
      </c>
      <c r="BD31" s="157">
        <f t="shared" si="17"/>
        <v>0</v>
      </c>
      <c r="BE31" s="48"/>
      <c r="BF31" s="46">
        <f t="shared" si="35"/>
        <v>0.60123267493640808</v>
      </c>
      <c r="BH31" s="155">
        <f t="shared" si="36"/>
        <v>0</v>
      </c>
      <c r="BI31" s="155">
        <f t="shared" si="37"/>
        <v>0</v>
      </c>
      <c r="BJ31" s="156">
        <f t="shared" si="38"/>
        <v>0</v>
      </c>
      <c r="BK31" s="156">
        <f t="shared" si="39"/>
        <v>0</v>
      </c>
      <c r="BL31" s="156">
        <f t="shared" si="40"/>
        <v>0</v>
      </c>
      <c r="BM31" s="156">
        <f t="shared" si="18"/>
        <v>0</v>
      </c>
      <c r="BN31" s="157">
        <f t="shared" si="41"/>
        <v>0</v>
      </c>
      <c r="BO31" s="156">
        <f t="shared" si="19"/>
        <v>0</v>
      </c>
      <c r="BP31" s="156">
        <f t="shared" si="20"/>
        <v>0</v>
      </c>
      <c r="BQ31" s="156">
        <f t="shared" si="21"/>
        <v>0</v>
      </c>
      <c r="BR31" s="156">
        <f t="shared" si="22"/>
        <v>0</v>
      </c>
      <c r="BS31" s="228">
        <f t="shared" si="42"/>
        <v>0</v>
      </c>
      <c r="BT31" s="156">
        <f t="shared" si="23"/>
        <v>0</v>
      </c>
      <c r="BU31" s="157">
        <f t="shared" si="43"/>
        <v>0</v>
      </c>
      <c r="BV31" s="157">
        <f t="shared" si="24"/>
        <v>0</v>
      </c>
      <c r="BW31" s="153"/>
      <c r="BX31" s="158">
        <f t="shared" si="25"/>
        <v>0</v>
      </c>
      <c r="BY31" s="286">
        <f t="shared" si="44"/>
        <v>0</v>
      </c>
      <c r="CA31"/>
    </row>
    <row r="32" spans="1:79" ht="15.75" customHeight="1">
      <c r="C32" s="2" t="s">
        <v>43</v>
      </c>
      <c r="D32" t="s">
        <v>6</v>
      </c>
      <c r="E32" s="268">
        <v>1</v>
      </c>
      <c r="F32" s="138">
        <v>1</v>
      </c>
      <c r="H32" s="72" t="s">
        <v>204</v>
      </c>
      <c r="M32" s="56" t="s">
        <v>57</v>
      </c>
      <c r="N32" s="19" t="s">
        <v>8</v>
      </c>
      <c r="O32" s="51">
        <f>SUM(O30:O31)</f>
        <v>2850</v>
      </c>
      <c r="P32" s="51">
        <f>SUM(P30:P31)</f>
        <v>2400</v>
      </c>
      <c r="V32" s="58">
        <f t="shared" si="26"/>
        <v>51226</v>
      </c>
      <c r="W32" s="6">
        <v>16</v>
      </c>
      <c r="X32" s="6" t="str">
        <f t="shared" si="27"/>
        <v>-</v>
      </c>
      <c r="Y32" s="161">
        <f t="shared" si="0"/>
        <v>0</v>
      </c>
      <c r="Z32" s="159">
        <f t="shared" si="1"/>
        <v>0</v>
      </c>
      <c r="AA32" s="159">
        <f t="shared" si="2"/>
        <v>0</v>
      </c>
      <c r="AB32" s="159">
        <f t="shared" si="3"/>
        <v>0</v>
      </c>
      <c r="AC32" s="160">
        <f t="shared" si="28"/>
        <v>0</v>
      </c>
      <c r="AD32" s="161">
        <f t="shared" si="4"/>
        <v>0</v>
      </c>
      <c r="AE32" s="159">
        <f t="shared" si="5"/>
        <v>0</v>
      </c>
      <c r="AF32" s="159">
        <f t="shared" si="6"/>
        <v>0</v>
      </c>
      <c r="AG32" s="159">
        <f>IF(AND(SUM($AA$16:AA31)&gt;0,SUM($AG$16:AG31)&lt;$O$62,$W32&gt;=$O$65),$O$64,0)</f>
        <v>64.125</v>
      </c>
      <c r="AH32" s="156">
        <f>IF(SUM($AA$17:$AA31)&gt;0,($O$62-SUM($AG$17:$AG31))*$F$65,0)</f>
        <v>10.580625</v>
      </c>
      <c r="AI32" s="160">
        <f t="shared" si="29"/>
        <v>0</v>
      </c>
      <c r="AJ32" s="156">
        <f t="shared" si="7"/>
        <v>0</v>
      </c>
      <c r="AK32" s="158">
        <f>(SUM($P$31,$P$51)-SUM($AU$17:AU31))*$O$109</f>
        <v>0</v>
      </c>
      <c r="AL32" s="163"/>
      <c r="AM32" s="157">
        <f t="shared" si="8"/>
        <v>0</v>
      </c>
      <c r="AN32" s="164"/>
      <c r="AO32" s="155">
        <f t="shared" si="9"/>
        <v>0</v>
      </c>
      <c r="AP32" s="156">
        <f t="shared" si="10"/>
        <v>0</v>
      </c>
      <c r="AQ32" s="156">
        <f t="shared" si="11"/>
        <v>0</v>
      </c>
      <c r="AR32" s="159">
        <f t="shared" si="12"/>
        <v>0</v>
      </c>
      <c r="AS32" s="160">
        <f t="shared" si="30"/>
        <v>0</v>
      </c>
      <c r="AT32" s="159">
        <f t="shared" si="13"/>
        <v>0</v>
      </c>
      <c r="AU32" s="159">
        <f t="shared" si="14"/>
        <v>0</v>
      </c>
      <c r="AV32" s="159">
        <f t="shared" si="15"/>
        <v>0</v>
      </c>
      <c r="AW32" s="159">
        <f t="shared" si="31"/>
        <v>0</v>
      </c>
      <c r="AX32" s="159">
        <f t="shared" si="32"/>
        <v>0</v>
      </c>
      <c r="AY32" s="159">
        <f t="shared" si="16"/>
        <v>0</v>
      </c>
      <c r="AZ32" s="159">
        <f>IF(AND(SUM($AQ$16:AQ31)&gt;0,SUM($AZ$16:AZ31)&lt;$P$62,$W32&gt;=$P$65),$P$64,0)</f>
        <v>54</v>
      </c>
      <c r="BA32" s="159">
        <f>IF(SUM($AQ$17:$AQ31)&gt;0,($P$62-SUM($AZ$17:$AZ31))*$F$65,0)</f>
        <v>8.91</v>
      </c>
      <c r="BB32" s="160">
        <f t="shared" si="33"/>
        <v>0</v>
      </c>
      <c r="BC32" s="156">
        <f t="shared" si="34"/>
        <v>0</v>
      </c>
      <c r="BD32" s="157">
        <f t="shared" si="17"/>
        <v>0</v>
      </c>
      <c r="BE32" s="48"/>
      <c r="BF32" s="46">
        <f t="shared" si="35"/>
        <v>0.58118189940687104</v>
      </c>
      <c r="BH32" s="155">
        <f t="shared" si="36"/>
        <v>0</v>
      </c>
      <c r="BI32" s="155">
        <f t="shared" si="37"/>
        <v>0</v>
      </c>
      <c r="BJ32" s="156">
        <f t="shared" si="38"/>
        <v>0</v>
      </c>
      <c r="BK32" s="156">
        <f t="shared" si="39"/>
        <v>0</v>
      </c>
      <c r="BL32" s="156">
        <f t="shared" si="40"/>
        <v>0</v>
      </c>
      <c r="BM32" s="156">
        <f t="shared" si="18"/>
        <v>0</v>
      </c>
      <c r="BN32" s="157">
        <f t="shared" si="41"/>
        <v>0</v>
      </c>
      <c r="BO32" s="156">
        <f t="shared" si="19"/>
        <v>0</v>
      </c>
      <c r="BP32" s="156">
        <f t="shared" si="20"/>
        <v>0</v>
      </c>
      <c r="BQ32" s="156">
        <f t="shared" si="21"/>
        <v>0</v>
      </c>
      <c r="BR32" s="156">
        <f t="shared" si="22"/>
        <v>0</v>
      </c>
      <c r="BS32" s="228">
        <f t="shared" si="42"/>
        <v>0</v>
      </c>
      <c r="BT32" s="156">
        <f t="shared" si="23"/>
        <v>0</v>
      </c>
      <c r="BU32" s="157">
        <f t="shared" si="43"/>
        <v>0</v>
      </c>
      <c r="BV32" s="157">
        <f t="shared" si="24"/>
        <v>0</v>
      </c>
      <c r="BW32" s="153"/>
      <c r="BX32" s="158">
        <f t="shared" si="25"/>
        <v>0</v>
      </c>
      <c r="BY32" s="286">
        <f t="shared" si="44"/>
        <v>0</v>
      </c>
      <c r="CA32"/>
    </row>
    <row r="33" spans="2:79" ht="15.75" customHeight="1">
      <c r="C33" s="2" t="s">
        <v>25</v>
      </c>
      <c r="D33" t="s">
        <v>6</v>
      </c>
      <c r="E33" s="139"/>
      <c r="F33" s="139"/>
      <c r="V33" s="58">
        <f t="shared" si="26"/>
        <v>51591</v>
      </c>
      <c r="W33" s="6">
        <v>17</v>
      </c>
      <c r="X33" s="6" t="str">
        <f t="shared" si="27"/>
        <v>-</v>
      </c>
      <c r="Y33" s="161">
        <f t="shared" si="0"/>
        <v>0</v>
      </c>
      <c r="Z33" s="159">
        <f t="shared" si="1"/>
        <v>0</v>
      </c>
      <c r="AA33" s="159">
        <f t="shared" si="2"/>
        <v>0</v>
      </c>
      <c r="AB33" s="159">
        <f t="shared" si="3"/>
        <v>0</v>
      </c>
      <c r="AC33" s="160">
        <f t="shared" si="28"/>
        <v>0</v>
      </c>
      <c r="AD33" s="161">
        <f t="shared" si="4"/>
        <v>0</v>
      </c>
      <c r="AE33" s="159">
        <f t="shared" si="5"/>
        <v>0</v>
      </c>
      <c r="AF33" s="159">
        <f t="shared" si="6"/>
        <v>0</v>
      </c>
      <c r="AG33" s="159">
        <f>IF(AND(SUM($AA$16:AA32)&gt;0,SUM($AG$16:AG32)&lt;$O$62,$W33&gt;=$O$65),$O$64,0)</f>
        <v>64.125</v>
      </c>
      <c r="AH33" s="156">
        <f>IF(SUM($AA$17:$AA32)&gt;0,($O$62-SUM($AG$17:$AG32))*$F$65,0)</f>
        <v>9.6187500000000004</v>
      </c>
      <c r="AI33" s="160">
        <f t="shared" si="29"/>
        <v>0</v>
      </c>
      <c r="AJ33" s="156">
        <f t="shared" si="7"/>
        <v>0</v>
      </c>
      <c r="AK33" s="158">
        <f>(SUM($P$31,$P$51)-SUM($AU$17:AU32))*$O$109</f>
        <v>0</v>
      </c>
      <c r="AL33" s="163"/>
      <c r="AM33" s="157">
        <f t="shared" si="8"/>
        <v>0</v>
      </c>
      <c r="AN33" s="164"/>
      <c r="AO33" s="155">
        <f t="shared" si="9"/>
        <v>0</v>
      </c>
      <c r="AP33" s="156">
        <f t="shared" si="10"/>
        <v>0</v>
      </c>
      <c r="AQ33" s="156">
        <f t="shared" si="11"/>
        <v>0</v>
      </c>
      <c r="AR33" s="159">
        <f t="shared" si="12"/>
        <v>0</v>
      </c>
      <c r="AS33" s="160">
        <f t="shared" si="30"/>
        <v>0</v>
      </c>
      <c r="AT33" s="159">
        <f t="shared" si="13"/>
        <v>0</v>
      </c>
      <c r="AU33" s="159">
        <f t="shared" si="14"/>
        <v>0</v>
      </c>
      <c r="AV33" s="159">
        <f t="shared" si="15"/>
        <v>0</v>
      </c>
      <c r="AW33" s="159">
        <f t="shared" si="31"/>
        <v>0</v>
      </c>
      <c r="AX33" s="159">
        <f t="shared" si="32"/>
        <v>0</v>
      </c>
      <c r="AY33" s="159">
        <f t="shared" si="16"/>
        <v>0</v>
      </c>
      <c r="AZ33" s="159">
        <f>IF(AND(SUM($AQ$16:AQ32)&gt;0,SUM($AZ$16:AZ32)&lt;$P$62,$W33&gt;=$P$65),$P$64,0)</f>
        <v>54</v>
      </c>
      <c r="BA33" s="159">
        <f>IF(SUM($AQ$17:$AQ32)&gt;0,($P$62-SUM($AZ$17:$AZ32))*$F$65,0)</f>
        <v>8.1</v>
      </c>
      <c r="BB33" s="160">
        <f t="shared" si="33"/>
        <v>0</v>
      </c>
      <c r="BC33" s="156">
        <f t="shared" si="34"/>
        <v>0</v>
      </c>
      <c r="BD33" s="157">
        <f t="shared" si="17"/>
        <v>0</v>
      </c>
      <c r="BE33" s="48"/>
      <c r="BF33" s="46">
        <f t="shared" si="35"/>
        <v>0.56179980609654045</v>
      </c>
      <c r="BH33" s="155">
        <f t="shared" si="36"/>
        <v>0</v>
      </c>
      <c r="BI33" s="155">
        <f t="shared" si="37"/>
        <v>0</v>
      </c>
      <c r="BJ33" s="156">
        <f t="shared" si="38"/>
        <v>0</v>
      </c>
      <c r="BK33" s="156">
        <f t="shared" si="39"/>
        <v>0</v>
      </c>
      <c r="BL33" s="156">
        <f t="shared" si="40"/>
        <v>0</v>
      </c>
      <c r="BM33" s="156">
        <f t="shared" si="18"/>
        <v>0</v>
      </c>
      <c r="BN33" s="157">
        <f t="shared" si="41"/>
        <v>0</v>
      </c>
      <c r="BO33" s="156">
        <f t="shared" si="19"/>
        <v>0</v>
      </c>
      <c r="BP33" s="156">
        <f t="shared" si="20"/>
        <v>0</v>
      </c>
      <c r="BQ33" s="156">
        <f t="shared" si="21"/>
        <v>0</v>
      </c>
      <c r="BR33" s="156">
        <f t="shared" si="22"/>
        <v>0</v>
      </c>
      <c r="BS33" s="228">
        <f t="shared" si="42"/>
        <v>0</v>
      </c>
      <c r="BT33" s="156">
        <f t="shared" si="23"/>
        <v>0</v>
      </c>
      <c r="BU33" s="157">
        <f t="shared" si="43"/>
        <v>0</v>
      </c>
      <c r="BV33" s="157">
        <f t="shared" si="24"/>
        <v>0</v>
      </c>
      <c r="BW33" s="153"/>
      <c r="BX33" s="158">
        <f t="shared" si="25"/>
        <v>0</v>
      </c>
      <c r="BY33" s="286">
        <f t="shared" si="44"/>
        <v>0</v>
      </c>
      <c r="CA33"/>
    </row>
    <row r="34" spans="2:79" ht="15.75" customHeight="1">
      <c r="E34" s="13">
        <f>SUM(E32:E33)</f>
        <v>1</v>
      </c>
      <c r="F34" s="13">
        <f>SUM(F32:F33)</f>
        <v>1</v>
      </c>
      <c r="V34" s="58">
        <f t="shared" si="26"/>
        <v>51956</v>
      </c>
      <c r="W34" s="6">
        <v>18</v>
      </c>
      <c r="X34" s="6" t="str">
        <f t="shared" si="27"/>
        <v>-</v>
      </c>
      <c r="Y34" s="161">
        <f t="shared" si="0"/>
        <v>0</v>
      </c>
      <c r="Z34" s="159">
        <f t="shared" si="1"/>
        <v>0</v>
      </c>
      <c r="AA34" s="159">
        <f t="shared" si="2"/>
        <v>0</v>
      </c>
      <c r="AB34" s="159">
        <f t="shared" si="3"/>
        <v>0</v>
      </c>
      <c r="AC34" s="160">
        <f t="shared" si="28"/>
        <v>0</v>
      </c>
      <c r="AD34" s="161">
        <f t="shared" si="4"/>
        <v>0</v>
      </c>
      <c r="AE34" s="159">
        <f t="shared" si="5"/>
        <v>0</v>
      </c>
      <c r="AF34" s="159">
        <f t="shared" si="6"/>
        <v>0</v>
      </c>
      <c r="AG34" s="159">
        <f>IF(AND(SUM($AA$16:AA33)&gt;0,SUM($AG$16:AG33)&lt;$O$62,$W34&gt;=$O$65),$O$64,0)</f>
        <v>64.125</v>
      </c>
      <c r="AH34" s="156">
        <f>IF(SUM($AA$17:$AA33)&gt;0,($O$62-SUM($AG$17:$AG33))*$F$65,0)</f>
        <v>8.6568749999999994</v>
      </c>
      <c r="AI34" s="160">
        <f t="shared" si="29"/>
        <v>0</v>
      </c>
      <c r="AJ34" s="156">
        <f t="shared" si="7"/>
        <v>0</v>
      </c>
      <c r="AK34" s="158">
        <f>(SUM($P$31,$P$51)-SUM($AU$17:AU33))*$O$109</f>
        <v>0</v>
      </c>
      <c r="AL34" s="163"/>
      <c r="AM34" s="157">
        <f t="shared" si="8"/>
        <v>0</v>
      </c>
      <c r="AN34" s="164"/>
      <c r="AO34" s="155">
        <f t="shared" si="9"/>
        <v>0</v>
      </c>
      <c r="AP34" s="156">
        <f t="shared" si="10"/>
        <v>0</v>
      </c>
      <c r="AQ34" s="156">
        <f t="shared" si="11"/>
        <v>0</v>
      </c>
      <c r="AR34" s="159">
        <f t="shared" si="12"/>
        <v>0</v>
      </c>
      <c r="AS34" s="160">
        <f t="shared" si="30"/>
        <v>0</v>
      </c>
      <c r="AT34" s="159">
        <f t="shared" si="13"/>
        <v>0</v>
      </c>
      <c r="AU34" s="159">
        <f t="shared" si="14"/>
        <v>0</v>
      </c>
      <c r="AV34" s="159">
        <f t="shared" si="15"/>
        <v>0</v>
      </c>
      <c r="AW34" s="159">
        <f t="shared" si="31"/>
        <v>0</v>
      </c>
      <c r="AX34" s="159">
        <f t="shared" si="32"/>
        <v>0</v>
      </c>
      <c r="AY34" s="159">
        <f t="shared" si="16"/>
        <v>0</v>
      </c>
      <c r="AZ34" s="159">
        <f>IF(AND(SUM($AQ$16:AQ33)&gt;0,SUM($AZ$16:AZ33)&lt;$P$62,$W34&gt;=$P$65),$P$64,0)</f>
        <v>54</v>
      </c>
      <c r="BA34" s="159">
        <f>IF(SUM($AQ$17:$AQ33)&gt;0,($P$62-SUM($AZ$17:$AZ33))*$F$65,0)</f>
        <v>7.29</v>
      </c>
      <c r="BB34" s="160">
        <f t="shared" si="33"/>
        <v>0</v>
      </c>
      <c r="BC34" s="156">
        <f t="shared" si="34"/>
        <v>0</v>
      </c>
      <c r="BD34" s="157">
        <f t="shared" si="17"/>
        <v>0</v>
      </c>
      <c r="BE34" s="48"/>
      <c r="BF34" s="46">
        <f t="shared" si="35"/>
        <v>0.54306409482507534</v>
      </c>
      <c r="BH34" s="155">
        <f t="shared" si="36"/>
        <v>0</v>
      </c>
      <c r="BI34" s="155">
        <f t="shared" si="37"/>
        <v>0</v>
      </c>
      <c r="BJ34" s="156">
        <f t="shared" si="38"/>
        <v>0</v>
      </c>
      <c r="BK34" s="156">
        <f t="shared" si="39"/>
        <v>0</v>
      </c>
      <c r="BL34" s="156">
        <f t="shared" si="40"/>
        <v>0</v>
      </c>
      <c r="BM34" s="156">
        <f t="shared" si="18"/>
        <v>0</v>
      </c>
      <c r="BN34" s="157">
        <f t="shared" si="41"/>
        <v>0</v>
      </c>
      <c r="BO34" s="156">
        <f t="shared" si="19"/>
        <v>0</v>
      </c>
      <c r="BP34" s="156">
        <f t="shared" si="20"/>
        <v>0</v>
      </c>
      <c r="BQ34" s="156">
        <f t="shared" si="21"/>
        <v>0</v>
      </c>
      <c r="BR34" s="156">
        <f t="shared" si="22"/>
        <v>0</v>
      </c>
      <c r="BS34" s="228">
        <f t="shared" si="42"/>
        <v>0</v>
      </c>
      <c r="BT34" s="156">
        <f t="shared" si="23"/>
        <v>0</v>
      </c>
      <c r="BU34" s="157">
        <f t="shared" si="43"/>
        <v>0</v>
      </c>
      <c r="BV34" s="157">
        <f t="shared" si="24"/>
        <v>0</v>
      </c>
      <c r="BW34" s="153"/>
      <c r="BX34" s="158">
        <f t="shared" si="25"/>
        <v>0</v>
      </c>
      <c r="BY34" s="286">
        <f t="shared" si="44"/>
        <v>0</v>
      </c>
      <c r="CA34"/>
    </row>
    <row r="35" spans="2:79" ht="15.75" customHeight="1">
      <c r="B35" s="56" t="s">
        <v>182</v>
      </c>
      <c r="C35" s="2" t="s">
        <v>10</v>
      </c>
      <c r="D35" t="s">
        <v>6</v>
      </c>
      <c r="F35" s="15">
        <v>0</v>
      </c>
      <c r="H35" s="150" t="s">
        <v>205</v>
      </c>
      <c r="J35" s="102" t="s">
        <v>193</v>
      </c>
      <c r="P35" t="s">
        <v>1</v>
      </c>
      <c r="V35" s="58">
        <f t="shared" si="26"/>
        <v>52321</v>
      </c>
      <c r="W35" s="6">
        <v>19</v>
      </c>
      <c r="X35" s="6" t="str">
        <f t="shared" si="27"/>
        <v>-</v>
      </c>
      <c r="Y35" s="161">
        <f t="shared" si="0"/>
        <v>0</v>
      </c>
      <c r="Z35" s="159">
        <f t="shared" si="1"/>
        <v>0</v>
      </c>
      <c r="AA35" s="159">
        <f t="shared" si="2"/>
        <v>0</v>
      </c>
      <c r="AB35" s="159">
        <f t="shared" si="3"/>
        <v>0</v>
      </c>
      <c r="AC35" s="160">
        <f t="shared" si="28"/>
        <v>0</v>
      </c>
      <c r="AD35" s="161">
        <f t="shared" si="4"/>
        <v>0</v>
      </c>
      <c r="AE35" s="159">
        <f t="shared" si="5"/>
        <v>0</v>
      </c>
      <c r="AF35" s="159">
        <f t="shared" si="6"/>
        <v>0</v>
      </c>
      <c r="AG35" s="159">
        <f>IF(AND(SUM($AA$16:AA34)&gt;0,SUM($AG$16:AG34)&lt;$O$62,$W35&gt;=$O$65),$O$64,0)</f>
        <v>64.125</v>
      </c>
      <c r="AH35" s="156">
        <f>IF(SUM($AA$17:$AA34)&gt;0,($O$62-SUM($AG$17:$AG34))*$F$65,0)</f>
        <v>7.6949999999999994</v>
      </c>
      <c r="AI35" s="160">
        <f t="shared" si="29"/>
        <v>0</v>
      </c>
      <c r="AJ35" s="156">
        <f t="shared" si="7"/>
        <v>0</v>
      </c>
      <c r="AK35" s="158">
        <f>(SUM($P$31,$P$51)-SUM($AU$17:AU34))*$O$109</f>
        <v>0</v>
      </c>
      <c r="AL35" s="163"/>
      <c r="AM35" s="157">
        <f t="shared" si="8"/>
        <v>0</v>
      </c>
      <c r="AN35" s="164"/>
      <c r="AO35" s="155">
        <f t="shared" si="9"/>
        <v>0</v>
      </c>
      <c r="AP35" s="156">
        <f t="shared" si="10"/>
        <v>0</v>
      </c>
      <c r="AQ35" s="156">
        <f t="shared" si="11"/>
        <v>0</v>
      </c>
      <c r="AR35" s="159">
        <f t="shared" si="12"/>
        <v>0</v>
      </c>
      <c r="AS35" s="160">
        <f t="shared" si="30"/>
        <v>0</v>
      </c>
      <c r="AT35" s="159">
        <f t="shared" si="13"/>
        <v>0</v>
      </c>
      <c r="AU35" s="159">
        <f t="shared" si="14"/>
        <v>0</v>
      </c>
      <c r="AV35" s="159">
        <f t="shared" si="15"/>
        <v>0</v>
      </c>
      <c r="AW35" s="159">
        <f t="shared" si="31"/>
        <v>0</v>
      </c>
      <c r="AX35" s="159">
        <f t="shared" si="32"/>
        <v>0</v>
      </c>
      <c r="AY35" s="159">
        <f t="shared" si="16"/>
        <v>0</v>
      </c>
      <c r="AZ35" s="159">
        <f>IF(AND(SUM($AQ$16:AQ34)&gt;0,SUM($AZ$16:AZ34)&lt;$P$62,$W35&gt;=$P$65),$P$64,0)</f>
        <v>54</v>
      </c>
      <c r="BA35" s="159">
        <f>IF(SUM($AQ$17:$AQ34)&gt;0,($P$62-SUM($AZ$17:$AZ34))*$F$65,0)</f>
        <v>6.4799999999999995</v>
      </c>
      <c r="BB35" s="160">
        <f t="shared" si="33"/>
        <v>0</v>
      </c>
      <c r="BC35" s="156">
        <f t="shared" si="34"/>
        <v>0</v>
      </c>
      <c r="BD35" s="157">
        <f t="shared" si="17"/>
        <v>0</v>
      </c>
      <c r="BE35" s="48"/>
      <c r="BF35" s="46">
        <f t="shared" si="35"/>
        <v>0.52495320911075438</v>
      </c>
      <c r="BH35" s="155">
        <f t="shared" si="36"/>
        <v>0</v>
      </c>
      <c r="BI35" s="155">
        <f t="shared" si="37"/>
        <v>0</v>
      </c>
      <c r="BJ35" s="156">
        <f t="shared" si="38"/>
        <v>0</v>
      </c>
      <c r="BK35" s="156">
        <f t="shared" si="39"/>
        <v>0</v>
      </c>
      <c r="BL35" s="156">
        <f t="shared" si="40"/>
        <v>0</v>
      </c>
      <c r="BM35" s="156">
        <f t="shared" si="18"/>
        <v>0</v>
      </c>
      <c r="BN35" s="157">
        <f t="shared" si="41"/>
        <v>0</v>
      </c>
      <c r="BO35" s="156">
        <f t="shared" si="19"/>
        <v>0</v>
      </c>
      <c r="BP35" s="156">
        <f t="shared" si="20"/>
        <v>0</v>
      </c>
      <c r="BQ35" s="156">
        <f t="shared" si="21"/>
        <v>0</v>
      </c>
      <c r="BR35" s="156">
        <f t="shared" si="22"/>
        <v>0</v>
      </c>
      <c r="BS35" s="228">
        <f t="shared" si="42"/>
        <v>0</v>
      </c>
      <c r="BT35" s="156">
        <f t="shared" si="23"/>
        <v>0</v>
      </c>
      <c r="BU35" s="157">
        <f t="shared" si="43"/>
        <v>0</v>
      </c>
      <c r="BV35" s="157">
        <f t="shared" si="24"/>
        <v>0</v>
      </c>
      <c r="BW35" s="153"/>
      <c r="BX35" s="158">
        <f t="shared" si="25"/>
        <v>0</v>
      </c>
      <c r="BY35" s="286">
        <f t="shared" si="44"/>
        <v>0</v>
      </c>
      <c r="CA35"/>
    </row>
    <row r="36" spans="2:79" ht="15.75" customHeight="1">
      <c r="C36" s="2" t="s">
        <v>181</v>
      </c>
      <c r="D36" t="s">
        <v>6</v>
      </c>
      <c r="F36" s="140">
        <f>F70</f>
        <v>0</v>
      </c>
      <c r="H36" s="150" t="s">
        <v>205</v>
      </c>
      <c r="J36" s="4"/>
      <c r="K36" s="56" t="s">
        <v>58</v>
      </c>
      <c r="N36" s="19" t="s">
        <v>6</v>
      </c>
      <c r="O36" s="53"/>
      <c r="P36" s="36">
        <f>SUM(F35:F37)</f>
        <v>0</v>
      </c>
      <c r="V36" s="58">
        <f t="shared" si="26"/>
        <v>52687</v>
      </c>
      <c r="W36" s="6">
        <v>20</v>
      </c>
      <c r="X36" s="6" t="str">
        <f t="shared" si="27"/>
        <v>-</v>
      </c>
      <c r="Y36" s="161">
        <f t="shared" si="0"/>
        <v>0</v>
      </c>
      <c r="Z36" s="159">
        <f t="shared" si="1"/>
        <v>0</v>
      </c>
      <c r="AA36" s="159">
        <f t="shared" si="2"/>
        <v>0</v>
      </c>
      <c r="AB36" s="159">
        <f t="shared" si="3"/>
        <v>0</v>
      </c>
      <c r="AC36" s="160">
        <f t="shared" si="28"/>
        <v>0</v>
      </c>
      <c r="AD36" s="161">
        <f t="shared" si="4"/>
        <v>0</v>
      </c>
      <c r="AE36" s="159">
        <f t="shared" si="5"/>
        <v>0</v>
      </c>
      <c r="AF36" s="159">
        <f t="shared" si="6"/>
        <v>0</v>
      </c>
      <c r="AG36" s="159">
        <f>IF(AND(SUM($AA$16:AA35)&gt;0,SUM($AG$16:AG35)&lt;$O$62,$W36&gt;=$O$65),$O$64,0)</f>
        <v>64.125</v>
      </c>
      <c r="AH36" s="156">
        <f>IF(SUM($AA$17:$AA35)&gt;0,($O$62-SUM($AG$17:$AG35))*$F$65,0)</f>
        <v>6.7331249999999994</v>
      </c>
      <c r="AI36" s="160">
        <f t="shared" si="29"/>
        <v>0</v>
      </c>
      <c r="AJ36" s="156">
        <f t="shared" si="7"/>
        <v>0</v>
      </c>
      <c r="AK36" s="158">
        <f>(SUM($P$31,$P$51)-SUM($AU$17:AU35))*$O$109</f>
        <v>0</v>
      </c>
      <c r="AL36" s="163"/>
      <c r="AM36" s="157">
        <f t="shared" si="8"/>
        <v>0</v>
      </c>
      <c r="AN36" s="164"/>
      <c r="AO36" s="155">
        <f t="shared" si="9"/>
        <v>0</v>
      </c>
      <c r="AP36" s="156">
        <f t="shared" si="10"/>
        <v>0</v>
      </c>
      <c r="AQ36" s="156">
        <f t="shared" si="11"/>
        <v>0</v>
      </c>
      <c r="AR36" s="159">
        <f t="shared" si="12"/>
        <v>0</v>
      </c>
      <c r="AS36" s="160">
        <f t="shared" si="30"/>
        <v>0</v>
      </c>
      <c r="AT36" s="159">
        <f t="shared" si="13"/>
        <v>0</v>
      </c>
      <c r="AU36" s="159">
        <f t="shared" si="14"/>
        <v>0</v>
      </c>
      <c r="AV36" s="159">
        <f t="shared" si="15"/>
        <v>0</v>
      </c>
      <c r="AW36" s="159">
        <f t="shared" si="31"/>
        <v>0</v>
      </c>
      <c r="AX36" s="159">
        <f t="shared" si="32"/>
        <v>0</v>
      </c>
      <c r="AY36" s="159">
        <f t="shared" si="16"/>
        <v>0</v>
      </c>
      <c r="AZ36" s="159">
        <f>IF(AND(SUM($AQ$16:AQ35)&gt;0,SUM($AZ$16:AZ35)&lt;$P$62,$W36&gt;=$P$65),$P$64,0)</f>
        <v>54</v>
      </c>
      <c r="BA36" s="159">
        <f>IF(SUM($AQ$17:$AQ35)&gt;0,($P$62-SUM($AZ$17:$AZ35))*$F$65,0)</f>
        <v>5.67</v>
      </c>
      <c r="BB36" s="160">
        <f t="shared" si="33"/>
        <v>0</v>
      </c>
      <c r="BC36" s="156">
        <f t="shared" si="34"/>
        <v>0</v>
      </c>
      <c r="BD36" s="157">
        <f t="shared" si="17"/>
        <v>0</v>
      </c>
      <c r="BE36" s="48"/>
      <c r="BF36" s="46">
        <f t="shared" si="35"/>
        <v>0.50744631136853979</v>
      </c>
      <c r="BH36" s="155">
        <f t="shared" si="36"/>
        <v>0</v>
      </c>
      <c r="BI36" s="155">
        <f t="shared" si="37"/>
        <v>0</v>
      </c>
      <c r="BJ36" s="156">
        <f t="shared" si="38"/>
        <v>0</v>
      </c>
      <c r="BK36" s="156">
        <f t="shared" si="39"/>
        <v>0</v>
      </c>
      <c r="BL36" s="156">
        <f t="shared" si="40"/>
        <v>0</v>
      </c>
      <c r="BM36" s="156">
        <f t="shared" si="18"/>
        <v>0</v>
      </c>
      <c r="BN36" s="157">
        <f t="shared" si="41"/>
        <v>0</v>
      </c>
      <c r="BO36" s="156">
        <f t="shared" si="19"/>
        <v>0</v>
      </c>
      <c r="BP36" s="156">
        <f t="shared" si="20"/>
        <v>0</v>
      </c>
      <c r="BQ36" s="156">
        <f t="shared" si="21"/>
        <v>0</v>
      </c>
      <c r="BR36" s="156">
        <f t="shared" si="22"/>
        <v>0</v>
      </c>
      <c r="BS36" s="228">
        <f t="shared" si="42"/>
        <v>0</v>
      </c>
      <c r="BT36" s="156">
        <f t="shared" si="23"/>
        <v>0</v>
      </c>
      <c r="BU36" s="157">
        <f t="shared" si="43"/>
        <v>0</v>
      </c>
      <c r="BV36" s="157">
        <f t="shared" si="24"/>
        <v>0</v>
      </c>
      <c r="BW36" s="153"/>
      <c r="BX36" s="158">
        <f t="shared" si="25"/>
        <v>0</v>
      </c>
      <c r="BY36" s="286">
        <f t="shared" si="44"/>
        <v>0</v>
      </c>
      <c r="CA36"/>
    </row>
    <row r="37" spans="2:79" ht="15.75" customHeight="1">
      <c r="C37" s="2" t="s">
        <v>11</v>
      </c>
      <c r="D37" t="s">
        <v>6</v>
      </c>
      <c r="F37" s="108">
        <v>0</v>
      </c>
      <c r="H37" s="150" t="s">
        <v>205</v>
      </c>
      <c r="V37" s="58">
        <f t="shared" si="26"/>
        <v>53052</v>
      </c>
      <c r="W37" s="6">
        <v>21</v>
      </c>
      <c r="X37" s="6" t="str">
        <f t="shared" si="27"/>
        <v>-</v>
      </c>
      <c r="Y37" s="161">
        <f t="shared" si="0"/>
        <v>0</v>
      </c>
      <c r="Z37" s="159">
        <f t="shared" si="1"/>
        <v>0</v>
      </c>
      <c r="AA37" s="159">
        <f t="shared" si="2"/>
        <v>0</v>
      </c>
      <c r="AB37" s="159">
        <f t="shared" si="3"/>
        <v>0</v>
      </c>
      <c r="AC37" s="160">
        <f t="shared" si="28"/>
        <v>0</v>
      </c>
      <c r="AD37" s="161">
        <f t="shared" si="4"/>
        <v>0</v>
      </c>
      <c r="AE37" s="159">
        <f t="shared" si="5"/>
        <v>0</v>
      </c>
      <c r="AF37" s="159">
        <f t="shared" si="6"/>
        <v>0</v>
      </c>
      <c r="AG37" s="159">
        <f>IF(AND(SUM($AA$16:AA36)&gt;0,SUM($AG$16:AG36)&lt;$O$62,$W37&gt;=$O$65),$O$64,0)</f>
        <v>64.125</v>
      </c>
      <c r="AH37" s="156">
        <f>IF(SUM($AA$17:$AA36)&gt;0,($O$62-SUM($AG$17:$AG36))*$F$65,0)</f>
        <v>5.7712500000000002</v>
      </c>
      <c r="AI37" s="160">
        <f t="shared" si="29"/>
        <v>0</v>
      </c>
      <c r="AJ37" s="156">
        <f t="shared" si="7"/>
        <v>0</v>
      </c>
      <c r="AK37" s="158">
        <f>(SUM($P$31,$P$51)-SUM($AU$17:AU36))*$O$109</f>
        <v>0</v>
      </c>
      <c r="AL37" s="163"/>
      <c r="AM37" s="157">
        <f t="shared" si="8"/>
        <v>0</v>
      </c>
      <c r="AN37" s="164"/>
      <c r="AO37" s="155">
        <f t="shared" si="9"/>
        <v>0</v>
      </c>
      <c r="AP37" s="156">
        <f t="shared" si="10"/>
        <v>0</v>
      </c>
      <c r="AQ37" s="156">
        <f t="shared" si="11"/>
        <v>0</v>
      </c>
      <c r="AR37" s="159">
        <f t="shared" si="12"/>
        <v>0</v>
      </c>
      <c r="AS37" s="160">
        <f t="shared" si="30"/>
        <v>0</v>
      </c>
      <c r="AT37" s="159">
        <f t="shared" si="13"/>
        <v>0</v>
      </c>
      <c r="AU37" s="159">
        <f t="shared" si="14"/>
        <v>0</v>
      </c>
      <c r="AV37" s="159">
        <f t="shared" si="15"/>
        <v>0</v>
      </c>
      <c r="AW37" s="159">
        <f t="shared" si="31"/>
        <v>0</v>
      </c>
      <c r="AX37" s="159">
        <f t="shared" si="32"/>
        <v>0</v>
      </c>
      <c r="AY37" s="159">
        <f t="shared" si="16"/>
        <v>0</v>
      </c>
      <c r="AZ37" s="159">
        <f>IF(AND(SUM($AQ$16:AQ36)&gt;0,SUM($AZ$16:AZ36)&lt;$P$62,$W37&gt;=$P$65),$P$64,0)</f>
        <v>54</v>
      </c>
      <c r="BA37" s="159">
        <f>IF(SUM($AQ$17:$AQ36)&gt;0,($P$62-SUM($AZ$17:$AZ36))*$F$65,0)</f>
        <v>4.8599999999999994</v>
      </c>
      <c r="BB37" s="160">
        <f t="shared" si="33"/>
        <v>0</v>
      </c>
      <c r="BC37" s="156">
        <f t="shared" si="34"/>
        <v>0</v>
      </c>
      <c r="BD37" s="157">
        <f t="shared" si="17"/>
        <v>0</v>
      </c>
      <c r="BE37" s="48"/>
      <c r="BF37" s="46">
        <f t="shared" si="35"/>
        <v>0.49052325893527288</v>
      </c>
      <c r="BH37" s="155">
        <f t="shared" si="36"/>
        <v>0</v>
      </c>
      <c r="BI37" s="155">
        <f t="shared" si="37"/>
        <v>0</v>
      </c>
      <c r="BJ37" s="156">
        <f t="shared" si="38"/>
        <v>0</v>
      </c>
      <c r="BK37" s="156">
        <f t="shared" si="39"/>
        <v>0</v>
      </c>
      <c r="BL37" s="156">
        <f t="shared" si="40"/>
        <v>0</v>
      </c>
      <c r="BM37" s="156">
        <f t="shared" si="18"/>
        <v>0</v>
      </c>
      <c r="BN37" s="157">
        <f t="shared" si="41"/>
        <v>0</v>
      </c>
      <c r="BO37" s="156">
        <f t="shared" si="19"/>
        <v>0</v>
      </c>
      <c r="BP37" s="156">
        <f t="shared" si="20"/>
        <v>0</v>
      </c>
      <c r="BQ37" s="156">
        <f t="shared" si="21"/>
        <v>0</v>
      </c>
      <c r="BR37" s="156">
        <f t="shared" si="22"/>
        <v>0</v>
      </c>
      <c r="BS37" s="228">
        <f t="shared" si="42"/>
        <v>0</v>
      </c>
      <c r="BT37" s="156">
        <f t="shared" si="23"/>
        <v>0</v>
      </c>
      <c r="BU37" s="157">
        <f t="shared" si="43"/>
        <v>0</v>
      </c>
      <c r="BV37" s="157">
        <f t="shared" si="24"/>
        <v>0</v>
      </c>
      <c r="BW37" s="153"/>
      <c r="BX37" s="158">
        <f t="shared" si="25"/>
        <v>0</v>
      </c>
      <c r="BY37" s="286">
        <f t="shared" si="44"/>
        <v>0</v>
      </c>
      <c r="CA37"/>
    </row>
    <row r="38" spans="2:79" ht="15.75" customHeight="1">
      <c r="C38" s="99"/>
      <c r="D38" s="101" t="s">
        <v>103</v>
      </c>
      <c r="E38" s="100"/>
      <c r="F38" s="98">
        <f>BY15</f>
        <v>0</v>
      </c>
      <c r="V38" s="58">
        <f t="shared" si="26"/>
        <v>53417</v>
      </c>
      <c r="W38" s="6">
        <v>22</v>
      </c>
      <c r="X38" s="6" t="str">
        <f t="shared" si="27"/>
        <v>-</v>
      </c>
      <c r="Y38" s="161">
        <f t="shared" si="0"/>
        <v>0</v>
      </c>
      <c r="Z38" s="159">
        <f t="shared" si="1"/>
        <v>0</v>
      </c>
      <c r="AA38" s="159">
        <f t="shared" si="2"/>
        <v>0</v>
      </c>
      <c r="AB38" s="159">
        <f t="shared" si="3"/>
        <v>0</v>
      </c>
      <c r="AC38" s="160">
        <f t="shared" si="28"/>
        <v>0</v>
      </c>
      <c r="AD38" s="161">
        <f t="shared" si="4"/>
        <v>0</v>
      </c>
      <c r="AE38" s="159">
        <f t="shared" si="5"/>
        <v>0</v>
      </c>
      <c r="AF38" s="159">
        <f t="shared" si="6"/>
        <v>0</v>
      </c>
      <c r="AG38" s="159">
        <f>IF(AND(SUM($AA$16:AA37)&gt;0,SUM($AG$16:AG37)&lt;$O$62,$W38&gt;=$O$65),$O$64,0)</f>
        <v>64.125</v>
      </c>
      <c r="AH38" s="156">
        <f>IF(SUM($AA$17:$AA37)&gt;0,($O$62-SUM($AG$17:$AG37))*$F$65,0)</f>
        <v>4.8093750000000002</v>
      </c>
      <c r="AI38" s="160">
        <f t="shared" si="29"/>
        <v>0</v>
      </c>
      <c r="AJ38" s="156">
        <f t="shared" si="7"/>
        <v>0</v>
      </c>
      <c r="AK38" s="158">
        <f>(SUM($P$31,$P$51)-SUM($AU$17:AU37))*$O$109</f>
        <v>0</v>
      </c>
      <c r="AL38" s="163"/>
      <c r="AM38" s="157">
        <f t="shared" si="8"/>
        <v>0</v>
      </c>
      <c r="AN38" s="164"/>
      <c r="AO38" s="155">
        <f t="shared" si="9"/>
        <v>0</v>
      </c>
      <c r="AP38" s="156">
        <f t="shared" si="10"/>
        <v>0</v>
      </c>
      <c r="AQ38" s="156">
        <f t="shared" si="11"/>
        <v>0</v>
      </c>
      <c r="AR38" s="159">
        <f t="shared" si="12"/>
        <v>0</v>
      </c>
      <c r="AS38" s="160">
        <f t="shared" si="30"/>
        <v>0</v>
      </c>
      <c r="AT38" s="159">
        <f t="shared" si="13"/>
        <v>0</v>
      </c>
      <c r="AU38" s="159">
        <f t="shared" si="14"/>
        <v>0</v>
      </c>
      <c r="AV38" s="159">
        <f t="shared" si="15"/>
        <v>0</v>
      </c>
      <c r="AW38" s="159">
        <f t="shared" si="31"/>
        <v>0</v>
      </c>
      <c r="AX38" s="159">
        <f t="shared" si="32"/>
        <v>0</v>
      </c>
      <c r="AY38" s="159">
        <f t="shared" si="16"/>
        <v>0</v>
      </c>
      <c r="AZ38" s="159">
        <f>IF(AND(SUM($AQ$16:AQ37)&gt;0,SUM($AZ$16:AZ37)&lt;$P$62,$W38&gt;=$P$65),$P$64,0)</f>
        <v>54</v>
      </c>
      <c r="BA38" s="159">
        <f>IF(SUM($AQ$17:$AQ37)&gt;0,($P$62-SUM($AZ$17:$AZ37))*$F$65,0)</f>
        <v>4.05</v>
      </c>
      <c r="BB38" s="160">
        <f t="shared" si="33"/>
        <v>0</v>
      </c>
      <c r="BC38" s="156">
        <f t="shared" si="34"/>
        <v>0</v>
      </c>
      <c r="BD38" s="157">
        <f t="shared" si="17"/>
        <v>0</v>
      </c>
      <c r="BE38" s="48"/>
      <c r="BF38" s="46">
        <f t="shared" si="35"/>
        <v>0.47416458089441554</v>
      </c>
      <c r="BH38" s="155">
        <f t="shared" si="36"/>
        <v>0</v>
      </c>
      <c r="BI38" s="155">
        <f t="shared" si="37"/>
        <v>0</v>
      </c>
      <c r="BJ38" s="156">
        <f t="shared" si="38"/>
        <v>0</v>
      </c>
      <c r="BK38" s="156">
        <f t="shared" si="39"/>
        <v>0</v>
      </c>
      <c r="BL38" s="156">
        <f t="shared" si="40"/>
        <v>0</v>
      </c>
      <c r="BM38" s="156">
        <f t="shared" si="18"/>
        <v>0</v>
      </c>
      <c r="BN38" s="157">
        <f t="shared" si="41"/>
        <v>0</v>
      </c>
      <c r="BO38" s="156">
        <f t="shared" si="19"/>
        <v>0</v>
      </c>
      <c r="BP38" s="156">
        <f t="shared" si="20"/>
        <v>0</v>
      </c>
      <c r="BQ38" s="156">
        <f t="shared" si="21"/>
        <v>0</v>
      </c>
      <c r="BR38" s="156">
        <f t="shared" si="22"/>
        <v>0</v>
      </c>
      <c r="BS38" s="228">
        <f t="shared" si="42"/>
        <v>0</v>
      </c>
      <c r="BT38" s="156">
        <f t="shared" si="23"/>
        <v>0</v>
      </c>
      <c r="BU38" s="157">
        <f t="shared" si="43"/>
        <v>0</v>
      </c>
      <c r="BV38" s="157">
        <f t="shared" si="24"/>
        <v>0</v>
      </c>
      <c r="BW38" s="153"/>
      <c r="BX38" s="158">
        <f t="shared" si="25"/>
        <v>0</v>
      </c>
      <c r="BY38" s="286">
        <f t="shared" si="44"/>
        <v>0</v>
      </c>
      <c r="CA38"/>
    </row>
    <row r="39" spans="2:79" ht="15.75" customHeight="1">
      <c r="V39" s="58">
        <f t="shared" si="26"/>
        <v>53782</v>
      </c>
      <c r="W39" s="6">
        <v>23</v>
      </c>
      <c r="X39" s="6" t="str">
        <f t="shared" si="27"/>
        <v>-</v>
      </c>
      <c r="Y39" s="161">
        <f t="shared" si="0"/>
        <v>0</v>
      </c>
      <c r="Z39" s="159">
        <f t="shared" si="1"/>
        <v>0</v>
      </c>
      <c r="AA39" s="159">
        <f t="shared" si="2"/>
        <v>0</v>
      </c>
      <c r="AB39" s="159">
        <f t="shared" si="3"/>
        <v>0</v>
      </c>
      <c r="AC39" s="160">
        <f t="shared" si="28"/>
        <v>0</v>
      </c>
      <c r="AD39" s="161">
        <f t="shared" si="4"/>
        <v>0</v>
      </c>
      <c r="AE39" s="159">
        <f t="shared" si="5"/>
        <v>0</v>
      </c>
      <c r="AF39" s="159">
        <f t="shared" si="6"/>
        <v>0</v>
      </c>
      <c r="AG39" s="159">
        <f>IF(AND(SUM($AA$16:AA38)&gt;0,SUM($AG$16:AG38)&lt;$O$62,$W39&gt;=$O$65),$O$64,0)</f>
        <v>64.125</v>
      </c>
      <c r="AH39" s="156">
        <f>IF(SUM($AA$17:$AA38)&gt;0,($O$62-SUM($AG$17:$AG38))*$F$65,0)</f>
        <v>3.8474999999999997</v>
      </c>
      <c r="AI39" s="160">
        <f t="shared" si="29"/>
        <v>0</v>
      </c>
      <c r="AJ39" s="156">
        <f t="shared" si="7"/>
        <v>0</v>
      </c>
      <c r="AK39" s="158">
        <f>(SUM($P$31,$P$51)-SUM($AU$17:AU38))*$O$109</f>
        <v>0</v>
      </c>
      <c r="AL39" s="163"/>
      <c r="AM39" s="157">
        <f t="shared" si="8"/>
        <v>0</v>
      </c>
      <c r="AN39" s="164"/>
      <c r="AO39" s="155">
        <f t="shared" si="9"/>
        <v>0</v>
      </c>
      <c r="AP39" s="156">
        <f t="shared" si="10"/>
        <v>0</v>
      </c>
      <c r="AQ39" s="156">
        <f t="shared" si="11"/>
        <v>0</v>
      </c>
      <c r="AR39" s="159">
        <f t="shared" si="12"/>
        <v>0</v>
      </c>
      <c r="AS39" s="160">
        <f t="shared" si="30"/>
        <v>0</v>
      </c>
      <c r="AT39" s="159">
        <f t="shared" si="13"/>
        <v>0</v>
      </c>
      <c r="AU39" s="159">
        <f t="shared" si="14"/>
        <v>0</v>
      </c>
      <c r="AV39" s="159">
        <f t="shared" si="15"/>
        <v>0</v>
      </c>
      <c r="AW39" s="159">
        <f t="shared" si="31"/>
        <v>0</v>
      </c>
      <c r="AX39" s="159">
        <f t="shared" si="32"/>
        <v>0</v>
      </c>
      <c r="AY39" s="159">
        <f t="shared" si="16"/>
        <v>0</v>
      </c>
      <c r="AZ39" s="159">
        <f>IF(AND(SUM($AQ$16:AQ38)&gt;0,SUM($AZ$16:AZ38)&lt;$P$62,$W39&gt;=$P$65),$P$64,0)</f>
        <v>54</v>
      </c>
      <c r="BA39" s="159">
        <f>IF(SUM($AQ$17:$AQ38)&gt;0,($P$62-SUM($AZ$17:$AZ38))*$F$65,0)</f>
        <v>3.2399999999999998</v>
      </c>
      <c r="BB39" s="160">
        <f t="shared" si="33"/>
        <v>0</v>
      </c>
      <c r="BC39" s="156">
        <f t="shared" si="34"/>
        <v>0</v>
      </c>
      <c r="BD39" s="157">
        <f t="shared" si="17"/>
        <v>0</v>
      </c>
      <c r="BE39" s="48"/>
      <c r="BF39" s="46">
        <f t="shared" si="35"/>
        <v>0.4583514556736738</v>
      </c>
      <c r="BH39" s="155">
        <f t="shared" si="36"/>
        <v>0</v>
      </c>
      <c r="BI39" s="155">
        <f t="shared" si="37"/>
        <v>0</v>
      </c>
      <c r="BJ39" s="156">
        <f t="shared" si="38"/>
        <v>0</v>
      </c>
      <c r="BK39" s="156">
        <f t="shared" si="39"/>
        <v>0</v>
      </c>
      <c r="BL39" s="156">
        <f t="shared" si="40"/>
        <v>0</v>
      </c>
      <c r="BM39" s="156">
        <f t="shared" si="18"/>
        <v>0</v>
      </c>
      <c r="BN39" s="157">
        <f t="shared" si="41"/>
        <v>0</v>
      </c>
      <c r="BO39" s="156">
        <f t="shared" si="19"/>
        <v>0</v>
      </c>
      <c r="BP39" s="156">
        <f t="shared" si="20"/>
        <v>0</v>
      </c>
      <c r="BQ39" s="156">
        <f t="shared" si="21"/>
        <v>0</v>
      </c>
      <c r="BR39" s="156">
        <f t="shared" si="22"/>
        <v>0</v>
      </c>
      <c r="BS39" s="228">
        <f t="shared" si="42"/>
        <v>0</v>
      </c>
      <c r="BT39" s="156">
        <f t="shared" si="23"/>
        <v>0</v>
      </c>
      <c r="BU39" s="157">
        <f t="shared" si="43"/>
        <v>0</v>
      </c>
      <c r="BV39" s="157">
        <f t="shared" si="24"/>
        <v>0</v>
      </c>
      <c r="BW39" s="153"/>
      <c r="BX39" s="158">
        <f t="shared" si="25"/>
        <v>0</v>
      </c>
      <c r="BY39" s="286">
        <f t="shared" si="44"/>
        <v>0</v>
      </c>
      <c r="CA39"/>
    </row>
    <row r="40" spans="2:79" ht="15.75" customHeight="1">
      <c r="B40" t="s">
        <v>183</v>
      </c>
      <c r="D40" t="s">
        <v>8</v>
      </c>
      <c r="F40" s="139"/>
      <c r="H40" s="72" t="s">
        <v>201</v>
      </c>
      <c r="J40" s="4" t="s">
        <v>192</v>
      </c>
      <c r="V40" s="58">
        <f t="shared" si="26"/>
        <v>54148</v>
      </c>
      <c r="W40" s="6">
        <v>24</v>
      </c>
      <c r="X40" s="282" t="str">
        <f t="shared" si="27"/>
        <v>-</v>
      </c>
      <c r="Y40" s="161">
        <f t="shared" si="0"/>
        <v>0</v>
      </c>
      <c r="Z40" s="159">
        <f t="shared" si="1"/>
        <v>0</v>
      </c>
      <c r="AA40" s="159">
        <f t="shared" si="2"/>
        <v>0</v>
      </c>
      <c r="AB40" s="159">
        <f t="shared" si="3"/>
        <v>0</v>
      </c>
      <c r="AC40" s="160">
        <f t="shared" si="28"/>
        <v>0</v>
      </c>
      <c r="AD40" s="161">
        <f t="shared" si="4"/>
        <v>0</v>
      </c>
      <c r="AE40" s="159">
        <f t="shared" si="5"/>
        <v>0</v>
      </c>
      <c r="AF40" s="159">
        <f t="shared" si="6"/>
        <v>0</v>
      </c>
      <c r="AG40" s="159">
        <f>IF(AND(SUM($AA$16:AA39)&gt;0,SUM($AG$16:AG39)&lt;$O$62,$W40&gt;=$O$65),$O$64,0)</f>
        <v>64.125</v>
      </c>
      <c r="AH40" s="156">
        <f>IF(SUM($AA$17:$AA39)&gt;0,($O$62-SUM($AG$17:$AG39))*$F$65,0)</f>
        <v>2.8856250000000001</v>
      </c>
      <c r="AI40" s="160">
        <f t="shared" si="29"/>
        <v>0</v>
      </c>
      <c r="AJ40" s="156">
        <f t="shared" si="7"/>
        <v>0</v>
      </c>
      <c r="AK40" s="158">
        <f>(SUM($P$31,$P$51)-SUM($AU$17:AU39))*$O$109</f>
        <v>0</v>
      </c>
      <c r="AL40" s="163"/>
      <c r="AM40" s="157">
        <f t="shared" si="8"/>
        <v>0</v>
      </c>
      <c r="AN40" s="164"/>
      <c r="AO40" s="155">
        <f t="shared" si="9"/>
        <v>0</v>
      </c>
      <c r="AP40" s="156">
        <f t="shared" si="10"/>
        <v>0</v>
      </c>
      <c r="AQ40" s="156">
        <f t="shared" si="11"/>
        <v>0</v>
      </c>
      <c r="AR40" s="159">
        <f t="shared" si="12"/>
        <v>0</v>
      </c>
      <c r="AS40" s="160">
        <f t="shared" si="30"/>
        <v>0</v>
      </c>
      <c r="AT40" s="159">
        <f t="shared" si="13"/>
        <v>0</v>
      </c>
      <c r="AU40" s="159">
        <f t="shared" si="14"/>
        <v>0</v>
      </c>
      <c r="AV40" s="159">
        <f t="shared" si="15"/>
        <v>0</v>
      </c>
      <c r="AW40" s="159">
        <f t="shared" si="31"/>
        <v>0</v>
      </c>
      <c r="AX40" s="159">
        <f t="shared" si="32"/>
        <v>0</v>
      </c>
      <c r="AY40" s="159">
        <f t="shared" si="16"/>
        <v>0</v>
      </c>
      <c r="AZ40" s="159">
        <f>IF(AND(SUM($AQ$16:AQ39)&gt;0,SUM($AZ$16:AZ39)&lt;$P$62,$W40&gt;=$P$65),$P$64,0)</f>
        <v>54</v>
      </c>
      <c r="BA40" s="159">
        <f>IF(SUM($AQ$17:$AQ39)&gt;0,($P$62-SUM($AZ$17:$AZ39))*$F$65,0)</f>
        <v>2.4299999999999997</v>
      </c>
      <c r="BB40" s="160">
        <f t="shared" si="33"/>
        <v>0</v>
      </c>
      <c r="BC40" s="156">
        <f t="shared" si="34"/>
        <v>0</v>
      </c>
      <c r="BD40" s="157">
        <f t="shared" si="17"/>
        <v>0</v>
      </c>
      <c r="BE40" s="48"/>
      <c r="BF40" s="46">
        <f t="shared" si="35"/>
        <v>0.44306568938972818</v>
      </c>
      <c r="BH40" s="155">
        <f t="shared" si="36"/>
        <v>0</v>
      </c>
      <c r="BI40" s="155">
        <f t="shared" si="37"/>
        <v>0</v>
      </c>
      <c r="BJ40" s="156">
        <f t="shared" si="38"/>
        <v>0</v>
      </c>
      <c r="BK40" s="156">
        <f t="shared" si="39"/>
        <v>0</v>
      </c>
      <c r="BL40" s="156">
        <f t="shared" si="40"/>
        <v>0</v>
      </c>
      <c r="BM40" s="156">
        <f t="shared" si="18"/>
        <v>0</v>
      </c>
      <c r="BN40" s="157">
        <f t="shared" si="41"/>
        <v>0</v>
      </c>
      <c r="BO40" s="156">
        <f t="shared" si="19"/>
        <v>0</v>
      </c>
      <c r="BP40" s="156">
        <f t="shared" si="20"/>
        <v>0</v>
      </c>
      <c r="BQ40" s="156">
        <f t="shared" si="21"/>
        <v>0</v>
      </c>
      <c r="BR40" s="156">
        <f t="shared" si="22"/>
        <v>0</v>
      </c>
      <c r="BS40" s="228">
        <f t="shared" si="42"/>
        <v>0</v>
      </c>
      <c r="BT40" s="156">
        <f t="shared" si="23"/>
        <v>0</v>
      </c>
      <c r="BU40" s="157">
        <f t="shared" si="43"/>
        <v>0</v>
      </c>
      <c r="BV40" s="157">
        <f t="shared" si="24"/>
        <v>0</v>
      </c>
      <c r="BW40" s="153"/>
      <c r="BX40" s="158">
        <f t="shared" si="25"/>
        <v>0</v>
      </c>
      <c r="BY40" s="286">
        <f t="shared" si="44"/>
        <v>0</v>
      </c>
      <c r="CA40"/>
    </row>
    <row r="41" spans="2:79" ht="15.75" customHeight="1">
      <c r="C41" s="2" t="s">
        <v>72</v>
      </c>
      <c r="D41" t="s">
        <v>8</v>
      </c>
      <c r="F41" s="139"/>
      <c r="K41" t="s">
        <v>190</v>
      </c>
      <c r="N41" s="19" t="s">
        <v>8</v>
      </c>
      <c r="O41" s="53"/>
      <c r="P41" s="53"/>
      <c r="Q41" t="s">
        <v>59</v>
      </c>
      <c r="V41" s="58">
        <f t="shared" si="26"/>
        <v>54513</v>
      </c>
      <c r="W41" s="6">
        <v>25</v>
      </c>
      <c r="X41" s="282" t="str">
        <f t="shared" si="27"/>
        <v>-</v>
      </c>
      <c r="Y41" s="161">
        <f t="shared" si="0"/>
        <v>0</v>
      </c>
      <c r="Z41" s="159">
        <f t="shared" si="1"/>
        <v>0</v>
      </c>
      <c r="AA41" s="159">
        <f t="shared" si="2"/>
        <v>0</v>
      </c>
      <c r="AB41" s="159">
        <f t="shared" si="3"/>
        <v>0</v>
      </c>
      <c r="AC41" s="160">
        <f t="shared" si="28"/>
        <v>0</v>
      </c>
      <c r="AD41" s="161">
        <f t="shared" si="4"/>
        <v>0</v>
      </c>
      <c r="AE41" s="159">
        <f t="shared" si="5"/>
        <v>0</v>
      </c>
      <c r="AF41" s="159">
        <f t="shared" si="6"/>
        <v>0</v>
      </c>
      <c r="AG41" s="159">
        <f>IF(AND(SUM($AA$16:AA40)&gt;0,SUM($AG$16:AG40)&lt;$O$62,$W41&gt;=$O$65),$O$64,0)</f>
        <v>64.125</v>
      </c>
      <c r="AH41" s="156">
        <f>IF(SUM($AA$17:$AA40)&gt;0,($O$62-SUM($AG$17:$AG40))*$F$65,0)</f>
        <v>1.9237499999999998</v>
      </c>
      <c r="AI41" s="160">
        <f t="shared" si="29"/>
        <v>0</v>
      </c>
      <c r="AJ41" s="156">
        <f t="shared" si="7"/>
        <v>0</v>
      </c>
      <c r="AK41" s="158">
        <f>(SUM($P$31,$P$51)-SUM($AU$17:AU40))*$O$109</f>
        <v>0</v>
      </c>
      <c r="AL41" s="163"/>
      <c r="AM41" s="157">
        <f t="shared" si="8"/>
        <v>0</v>
      </c>
      <c r="AN41" s="164"/>
      <c r="AO41" s="155">
        <f t="shared" si="9"/>
        <v>0</v>
      </c>
      <c r="AP41" s="156">
        <f t="shared" si="10"/>
        <v>0</v>
      </c>
      <c r="AQ41" s="156">
        <f t="shared" si="11"/>
        <v>0</v>
      </c>
      <c r="AR41" s="159">
        <f t="shared" si="12"/>
        <v>0</v>
      </c>
      <c r="AS41" s="160">
        <f t="shared" si="30"/>
        <v>0</v>
      </c>
      <c r="AT41" s="159">
        <f t="shared" si="13"/>
        <v>0</v>
      </c>
      <c r="AU41" s="159">
        <f t="shared" si="14"/>
        <v>0</v>
      </c>
      <c r="AV41" s="159">
        <f t="shared" si="15"/>
        <v>0</v>
      </c>
      <c r="AW41" s="159">
        <f t="shared" si="31"/>
        <v>0</v>
      </c>
      <c r="AX41" s="159">
        <f t="shared" si="32"/>
        <v>0</v>
      </c>
      <c r="AY41" s="159">
        <f t="shared" si="16"/>
        <v>0</v>
      </c>
      <c r="AZ41" s="159">
        <f>IF(AND(SUM($AQ$16:AQ40)&gt;0,SUM($AZ$16:AZ40)&lt;$P$62,$W41&gt;=$P$65),$P$64,0)</f>
        <v>54</v>
      </c>
      <c r="BA41" s="159">
        <f>IF(SUM($AQ$17:$AQ40)&gt;0,($P$62-SUM($AZ$17:$AZ40))*$F$65,0)</f>
        <v>1.6199999999999999</v>
      </c>
      <c r="BB41" s="160">
        <f t="shared" si="33"/>
        <v>0</v>
      </c>
      <c r="BC41" s="156">
        <f t="shared" si="34"/>
        <v>0</v>
      </c>
      <c r="BD41" s="157">
        <f t="shared" si="17"/>
        <v>0</v>
      </c>
      <c r="BE41" s="49"/>
      <c r="BF41" s="46">
        <f t="shared" si="35"/>
        <v>0.42828969491515534</v>
      </c>
      <c r="BH41" s="155">
        <f t="shared" si="36"/>
        <v>0</v>
      </c>
      <c r="BI41" s="155">
        <f t="shared" si="37"/>
        <v>0</v>
      </c>
      <c r="BJ41" s="156">
        <f t="shared" si="38"/>
        <v>0</v>
      </c>
      <c r="BK41" s="156">
        <f t="shared" si="39"/>
        <v>0</v>
      </c>
      <c r="BL41" s="156">
        <f t="shared" si="40"/>
        <v>0</v>
      </c>
      <c r="BM41" s="156">
        <f t="shared" si="18"/>
        <v>0</v>
      </c>
      <c r="BN41" s="157">
        <f t="shared" si="41"/>
        <v>0</v>
      </c>
      <c r="BO41" s="156">
        <f t="shared" si="19"/>
        <v>0</v>
      </c>
      <c r="BP41" s="156">
        <f t="shared" si="20"/>
        <v>0</v>
      </c>
      <c r="BQ41" s="156">
        <f t="shared" si="21"/>
        <v>0</v>
      </c>
      <c r="BR41" s="156">
        <f t="shared" si="22"/>
        <v>0</v>
      </c>
      <c r="BS41" s="228">
        <f t="shared" si="42"/>
        <v>0</v>
      </c>
      <c r="BT41" s="156">
        <f t="shared" si="23"/>
        <v>0</v>
      </c>
      <c r="BU41" s="157">
        <f t="shared" si="43"/>
        <v>0</v>
      </c>
      <c r="BV41" s="157">
        <f t="shared" si="24"/>
        <v>0</v>
      </c>
      <c r="BW41" s="153"/>
      <c r="BX41" s="158">
        <f t="shared" si="25"/>
        <v>0</v>
      </c>
      <c r="BY41" s="286">
        <f t="shared" si="44"/>
        <v>0</v>
      </c>
      <c r="CA41"/>
    </row>
    <row r="42" spans="2:79" ht="15.75" customHeight="1">
      <c r="C42" s="2" t="s">
        <v>71</v>
      </c>
      <c r="D42" t="s">
        <v>8</v>
      </c>
      <c r="F42" s="139"/>
      <c r="K42" t="s">
        <v>21</v>
      </c>
      <c r="N42" s="19" t="s">
        <v>8</v>
      </c>
      <c r="O42" s="53"/>
      <c r="P42" s="53"/>
      <c r="Q42" t="s">
        <v>214</v>
      </c>
      <c r="V42" s="58">
        <f t="shared" si="26"/>
        <v>54878</v>
      </c>
      <c r="W42" s="6">
        <v>26</v>
      </c>
      <c r="X42" s="282" t="str">
        <f t="shared" si="27"/>
        <v>-</v>
      </c>
      <c r="Y42" s="161">
        <f t="shared" si="0"/>
        <v>0</v>
      </c>
      <c r="Z42" s="159">
        <f t="shared" si="1"/>
        <v>0</v>
      </c>
      <c r="AA42" s="159">
        <f t="shared" si="2"/>
        <v>0</v>
      </c>
      <c r="AB42" s="159">
        <f t="shared" si="3"/>
        <v>0</v>
      </c>
      <c r="AC42" s="160">
        <f t="shared" si="28"/>
        <v>0</v>
      </c>
      <c r="AD42" s="161">
        <f t="shared" si="4"/>
        <v>0</v>
      </c>
      <c r="AE42" s="159">
        <f t="shared" si="5"/>
        <v>0</v>
      </c>
      <c r="AF42" s="159">
        <f t="shared" si="6"/>
        <v>0</v>
      </c>
      <c r="AG42" s="159">
        <f>IF(AND(SUM($AA$16:AA41)&gt;0,SUM($AG$16:AG41)&lt;$O$62,$W42&gt;=$O$65),$O$64,0)</f>
        <v>64.125</v>
      </c>
      <c r="AH42" s="156">
        <f>IF(SUM($AA$17:$AA41)&gt;0,($O$62-SUM($AG$17:$AG41))*$F$65,0)</f>
        <v>0.96187499999999992</v>
      </c>
      <c r="AI42" s="160">
        <f t="shared" si="29"/>
        <v>0</v>
      </c>
      <c r="AJ42" s="156">
        <f t="shared" si="7"/>
        <v>0</v>
      </c>
      <c r="AK42" s="158">
        <f>(SUM($P$31,$P$51)-SUM($AU$17:AU41))*$O$109</f>
        <v>0</v>
      </c>
      <c r="AL42" s="163"/>
      <c r="AM42" s="157">
        <f t="shared" si="8"/>
        <v>0</v>
      </c>
      <c r="AN42" s="164"/>
      <c r="AO42" s="155">
        <f t="shared" si="9"/>
        <v>0</v>
      </c>
      <c r="AP42" s="156">
        <f t="shared" si="10"/>
        <v>0</v>
      </c>
      <c r="AQ42" s="156">
        <f t="shared" si="11"/>
        <v>0</v>
      </c>
      <c r="AR42" s="159">
        <f t="shared" si="12"/>
        <v>0</v>
      </c>
      <c r="AS42" s="160">
        <f t="shared" si="30"/>
        <v>0</v>
      </c>
      <c r="AT42" s="159">
        <f t="shared" si="13"/>
        <v>0</v>
      </c>
      <c r="AU42" s="159">
        <f t="shared" si="14"/>
        <v>0</v>
      </c>
      <c r="AV42" s="159">
        <f t="shared" si="15"/>
        <v>0</v>
      </c>
      <c r="AW42" s="159">
        <f t="shared" si="31"/>
        <v>0</v>
      </c>
      <c r="AX42" s="159">
        <f t="shared" si="32"/>
        <v>0</v>
      </c>
      <c r="AY42" s="159">
        <f t="shared" si="16"/>
        <v>0</v>
      </c>
      <c r="AZ42" s="159">
        <f>IF(AND(SUM($AQ$16:AQ41)&gt;0,SUM($AZ$16:AZ41)&lt;$P$62,$W42&gt;=$P$65),$P$64,0)</f>
        <v>54</v>
      </c>
      <c r="BA42" s="159">
        <f>IF(SUM($AQ$17:$AQ41)&gt;0,($P$62-SUM($AZ$17:$AZ41))*$F$65,0)</f>
        <v>0.80999999999999994</v>
      </c>
      <c r="BB42" s="160">
        <f t="shared" si="33"/>
        <v>0</v>
      </c>
      <c r="BC42" s="156">
        <f t="shared" si="34"/>
        <v>0</v>
      </c>
      <c r="BD42" s="157">
        <f t="shared" si="17"/>
        <v>0</v>
      </c>
      <c r="BE42" s="49"/>
      <c r="BF42" s="46">
        <f t="shared" si="35"/>
        <v>0.41400647164345611</v>
      </c>
      <c r="BH42" s="155">
        <f t="shared" si="36"/>
        <v>0</v>
      </c>
      <c r="BI42" s="155">
        <f t="shared" si="37"/>
        <v>0</v>
      </c>
      <c r="BJ42" s="156">
        <f t="shared" si="38"/>
        <v>0</v>
      </c>
      <c r="BK42" s="156">
        <f t="shared" si="39"/>
        <v>0</v>
      </c>
      <c r="BL42" s="156">
        <f t="shared" si="40"/>
        <v>0</v>
      </c>
      <c r="BM42" s="156">
        <f t="shared" si="18"/>
        <v>0</v>
      </c>
      <c r="BN42" s="157">
        <f t="shared" si="41"/>
        <v>0</v>
      </c>
      <c r="BO42" s="156">
        <f t="shared" si="19"/>
        <v>0</v>
      </c>
      <c r="BP42" s="156">
        <f t="shared" si="20"/>
        <v>0</v>
      </c>
      <c r="BQ42" s="156">
        <f t="shared" si="21"/>
        <v>0</v>
      </c>
      <c r="BR42" s="156">
        <f t="shared" si="22"/>
        <v>0</v>
      </c>
      <c r="BS42" s="228">
        <f t="shared" si="42"/>
        <v>0</v>
      </c>
      <c r="BT42" s="156">
        <f t="shared" si="23"/>
        <v>0</v>
      </c>
      <c r="BU42" s="157">
        <f t="shared" si="43"/>
        <v>0</v>
      </c>
      <c r="BV42" s="157">
        <f t="shared" si="24"/>
        <v>0</v>
      </c>
      <c r="BW42" s="153"/>
      <c r="BX42" s="158">
        <f t="shared" si="25"/>
        <v>0</v>
      </c>
      <c r="BY42" s="286">
        <f t="shared" si="44"/>
        <v>0</v>
      </c>
      <c r="CA42"/>
    </row>
    <row r="43" spans="2:79" ht="15.75" customHeight="1">
      <c r="B43" t="s">
        <v>217</v>
      </c>
      <c r="E43" s="19" t="s">
        <v>0</v>
      </c>
      <c r="F43" s="19" t="s">
        <v>1</v>
      </c>
      <c r="K43" t="s">
        <v>215</v>
      </c>
      <c r="N43" s="19" t="s">
        <v>8</v>
      </c>
      <c r="O43" s="53"/>
      <c r="P43" s="53"/>
      <c r="V43" s="58">
        <f t="shared" si="26"/>
        <v>55243</v>
      </c>
      <c r="W43" s="6">
        <v>27</v>
      </c>
      <c r="X43" s="282" t="str">
        <f t="shared" si="27"/>
        <v>-</v>
      </c>
      <c r="Y43" s="161">
        <f t="shared" si="0"/>
        <v>0</v>
      </c>
      <c r="Z43" s="159">
        <f t="shared" si="1"/>
        <v>0</v>
      </c>
      <c r="AA43" s="159">
        <f t="shared" si="2"/>
        <v>0</v>
      </c>
      <c r="AB43" s="159">
        <f t="shared" si="3"/>
        <v>0</v>
      </c>
      <c r="AC43" s="160">
        <f t="shared" si="28"/>
        <v>0</v>
      </c>
      <c r="AD43" s="161">
        <f t="shared" si="4"/>
        <v>0</v>
      </c>
      <c r="AE43" s="159">
        <f t="shared" si="5"/>
        <v>0</v>
      </c>
      <c r="AF43" s="159">
        <f t="shared" si="6"/>
        <v>0</v>
      </c>
      <c r="AG43" s="159">
        <f>IF(AND(SUM($AA$16:AA42)&gt;0,SUM($AG$16:AG42)&lt;$O$62,$W43&gt;=$O$65),$O$64,0)</f>
        <v>0</v>
      </c>
      <c r="AH43" s="156">
        <f>IF(SUM($AA$17:$AA42)&gt;0,($O$62-SUM($AG$17:$AG42))*$F$65,0)</f>
        <v>0</v>
      </c>
      <c r="AI43" s="160">
        <f t="shared" si="29"/>
        <v>0</v>
      </c>
      <c r="AJ43" s="156">
        <f t="shared" si="7"/>
        <v>0</v>
      </c>
      <c r="AK43" s="158">
        <f>(SUM($P$31,$P$51)-SUM($AU$17:AU42))*$O$109</f>
        <v>0</v>
      </c>
      <c r="AL43" s="163"/>
      <c r="AM43" s="157">
        <f t="shared" si="8"/>
        <v>0</v>
      </c>
      <c r="AN43" s="164"/>
      <c r="AO43" s="155">
        <f t="shared" si="9"/>
        <v>0</v>
      </c>
      <c r="AP43" s="156">
        <f t="shared" si="10"/>
        <v>0</v>
      </c>
      <c r="AQ43" s="156">
        <f t="shared" si="11"/>
        <v>0</v>
      </c>
      <c r="AR43" s="159">
        <f t="shared" si="12"/>
        <v>0</v>
      </c>
      <c r="AS43" s="160">
        <f t="shared" si="30"/>
        <v>0</v>
      </c>
      <c r="AT43" s="159">
        <f t="shared" si="13"/>
        <v>0</v>
      </c>
      <c r="AU43" s="159">
        <f t="shared" si="14"/>
        <v>0</v>
      </c>
      <c r="AV43" s="159">
        <f t="shared" si="15"/>
        <v>0</v>
      </c>
      <c r="AW43" s="159">
        <f t="shared" si="31"/>
        <v>0</v>
      </c>
      <c r="AX43" s="159">
        <f t="shared" si="32"/>
        <v>0</v>
      </c>
      <c r="AY43" s="159">
        <f t="shared" si="16"/>
        <v>0</v>
      </c>
      <c r="AZ43" s="159">
        <f>IF(AND(SUM($AQ$16:AQ42)&gt;0,SUM($AZ$16:AZ42)&lt;$P$62,$W43&gt;=$P$65),$P$64,0)</f>
        <v>0</v>
      </c>
      <c r="BA43" s="159">
        <f>IF(SUM($AQ$17:$AQ42)&gt;0,($P$62-SUM($AZ$17:$AZ42))*$F$65,0)</f>
        <v>0</v>
      </c>
      <c r="BB43" s="160">
        <f t="shared" si="33"/>
        <v>0</v>
      </c>
      <c r="BC43" s="156">
        <f t="shared" si="34"/>
        <v>0</v>
      </c>
      <c r="BD43" s="157">
        <f t="shared" si="17"/>
        <v>0</v>
      </c>
      <c r="BE43" s="49"/>
      <c r="BF43" s="46">
        <f t="shared" si="35"/>
        <v>0.40019958592890875</v>
      </c>
      <c r="BH43" s="155">
        <f t="shared" si="36"/>
        <v>0</v>
      </c>
      <c r="BI43" s="155">
        <f t="shared" si="37"/>
        <v>0</v>
      </c>
      <c r="BJ43" s="156">
        <f t="shared" si="38"/>
        <v>0</v>
      </c>
      <c r="BK43" s="156">
        <f t="shared" si="39"/>
        <v>0</v>
      </c>
      <c r="BL43" s="156">
        <f t="shared" si="40"/>
        <v>0</v>
      </c>
      <c r="BM43" s="156">
        <f t="shared" si="18"/>
        <v>0</v>
      </c>
      <c r="BN43" s="157">
        <f t="shared" si="41"/>
        <v>0</v>
      </c>
      <c r="BO43" s="156">
        <f t="shared" si="19"/>
        <v>0</v>
      </c>
      <c r="BP43" s="156">
        <f t="shared" si="20"/>
        <v>0</v>
      </c>
      <c r="BQ43" s="156">
        <f t="shared" si="21"/>
        <v>0</v>
      </c>
      <c r="BR43" s="156">
        <f t="shared" si="22"/>
        <v>0</v>
      </c>
      <c r="BS43" s="228">
        <f t="shared" si="42"/>
        <v>0</v>
      </c>
      <c r="BT43" s="156">
        <f t="shared" si="23"/>
        <v>0</v>
      </c>
      <c r="BU43" s="157">
        <f t="shared" si="43"/>
        <v>0</v>
      </c>
      <c r="BV43" s="157">
        <f t="shared" si="24"/>
        <v>0</v>
      </c>
      <c r="BW43" s="153"/>
      <c r="BX43" s="158">
        <f t="shared" si="25"/>
        <v>0</v>
      </c>
      <c r="BY43" s="286">
        <f t="shared" si="44"/>
        <v>0</v>
      </c>
      <c r="CA43"/>
    </row>
    <row r="44" spans="2:79" ht="15.75" customHeight="1">
      <c r="C44" s="275" t="s">
        <v>253</v>
      </c>
      <c r="D44" t="s">
        <v>8</v>
      </c>
      <c r="E44" s="276"/>
      <c r="F44" s="192">
        <v>25</v>
      </c>
      <c r="K44" t="s">
        <v>191</v>
      </c>
      <c r="N44" s="19" t="s">
        <v>8</v>
      </c>
      <c r="O44" s="21">
        <f>O41*$F$17</f>
        <v>0</v>
      </c>
      <c r="P44" s="21">
        <f>P43*$F$17</f>
        <v>0</v>
      </c>
      <c r="V44" s="58">
        <f t="shared" si="26"/>
        <v>55609</v>
      </c>
      <c r="W44" s="6">
        <v>28</v>
      </c>
      <c r="X44" s="282" t="str">
        <f t="shared" si="27"/>
        <v>-</v>
      </c>
      <c r="Y44" s="161">
        <f t="shared" si="0"/>
        <v>0</v>
      </c>
      <c r="Z44" s="159">
        <f t="shared" si="1"/>
        <v>0</v>
      </c>
      <c r="AA44" s="159">
        <f t="shared" si="2"/>
        <v>0</v>
      </c>
      <c r="AB44" s="159">
        <f t="shared" si="3"/>
        <v>0</v>
      </c>
      <c r="AC44" s="160">
        <f t="shared" si="28"/>
        <v>0</v>
      </c>
      <c r="AD44" s="161">
        <f t="shared" si="4"/>
        <v>0</v>
      </c>
      <c r="AE44" s="159">
        <f t="shared" si="5"/>
        <v>0</v>
      </c>
      <c r="AF44" s="159">
        <f t="shared" si="6"/>
        <v>0</v>
      </c>
      <c r="AG44" s="159">
        <f>IF(AND(SUM($AA$16:AA43)&gt;0,SUM($AG$16:AG43)&lt;$O$62,$W44&gt;=$O$65),$O$64,0)</f>
        <v>0</v>
      </c>
      <c r="AH44" s="156">
        <f>IF(SUM($AA$17:$AA43)&gt;0,($O$62-SUM($AG$17:$AG43))*$F$65,0)</f>
        <v>0</v>
      </c>
      <c r="AI44" s="160">
        <f t="shared" si="29"/>
        <v>0</v>
      </c>
      <c r="AJ44" s="156">
        <f t="shared" si="7"/>
        <v>0</v>
      </c>
      <c r="AK44" s="158">
        <f>(SUM($P$31,$P$51)-SUM($AU$17:AU43))*$O$109</f>
        <v>0</v>
      </c>
      <c r="AL44" s="163"/>
      <c r="AM44" s="157">
        <f t="shared" si="8"/>
        <v>0</v>
      </c>
      <c r="AN44" s="164"/>
      <c r="AO44" s="155">
        <f t="shared" si="9"/>
        <v>0</v>
      </c>
      <c r="AP44" s="156">
        <f t="shared" si="10"/>
        <v>0</v>
      </c>
      <c r="AQ44" s="156">
        <f t="shared" si="11"/>
        <v>0</v>
      </c>
      <c r="AR44" s="159">
        <f t="shared" si="12"/>
        <v>0</v>
      </c>
      <c r="AS44" s="160">
        <f t="shared" si="30"/>
        <v>0</v>
      </c>
      <c r="AT44" s="159">
        <f t="shared" si="13"/>
        <v>0</v>
      </c>
      <c r="AU44" s="159">
        <f t="shared" si="14"/>
        <v>0</v>
      </c>
      <c r="AV44" s="159">
        <f t="shared" si="15"/>
        <v>0</v>
      </c>
      <c r="AW44" s="159">
        <f t="shared" si="31"/>
        <v>0</v>
      </c>
      <c r="AX44" s="159">
        <f t="shared" si="32"/>
        <v>0</v>
      </c>
      <c r="AY44" s="159">
        <f t="shared" si="16"/>
        <v>0</v>
      </c>
      <c r="AZ44" s="159">
        <f>IF(AND(SUM($AQ$16:AQ43)&gt;0,SUM($AZ$16:AZ43)&lt;$P$62,$W44&gt;=$P$65),$P$64,0)</f>
        <v>0</v>
      </c>
      <c r="BA44" s="159">
        <f>IF(SUM($AQ$17:$AQ43)&gt;0,($P$62-SUM($AZ$17:$AZ43))*$F$65,0)</f>
        <v>0</v>
      </c>
      <c r="BB44" s="160">
        <f t="shared" si="33"/>
        <v>0</v>
      </c>
      <c r="BC44" s="156">
        <f t="shared" si="34"/>
        <v>0</v>
      </c>
      <c r="BD44" s="157">
        <f t="shared" si="17"/>
        <v>0</v>
      </c>
      <c r="BE44" s="49"/>
      <c r="BF44" s="46">
        <f t="shared" si="35"/>
        <v>0.38685315217874217</v>
      </c>
      <c r="BH44" s="155">
        <f t="shared" si="36"/>
        <v>0</v>
      </c>
      <c r="BI44" s="155">
        <f t="shared" si="37"/>
        <v>0</v>
      </c>
      <c r="BJ44" s="156">
        <f t="shared" si="38"/>
        <v>0</v>
      </c>
      <c r="BK44" s="156">
        <f t="shared" si="39"/>
        <v>0</v>
      </c>
      <c r="BL44" s="156">
        <f t="shared" si="40"/>
        <v>0</v>
      </c>
      <c r="BM44" s="156">
        <f t="shared" si="18"/>
        <v>0</v>
      </c>
      <c r="BN44" s="157">
        <f t="shared" si="41"/>
        <v>0</v>
      </c>
      <c r="BO44" s="156">
        <f t="shared" si="19"/>
        <v>0</v>
      </c>
      <c r="BP44" s="156">
        <f t="shared" si="20"/>
        <v>0</v>
      </c>
      <c r="BQ44" s="156">
        <f t="shared" si="21"/>
        <v>0</v>
      </c>
      <c r="BR44" s="156">
        <f t="shared" si="22"/>
        <v>0</v>
      </c>
      <c r="BS44" s="228">
        <f t="shared" si="42"/>
        <v>0</v>
      </c>
      <c r="BT44" s="156">
        <f t="shared" si="23"/>
        <v>0</v>
      </c>
      <c r="BU44" s="157">
        <f t="shared" si="43"/>
        <v>0</v>
      </c>
      <c r="BV44" s="157">
        <f t="shared" si="24"/>
        <v>0</v>
      </c>
      <c r="BW44" s="153"/>
      <c r="BX44" s="158">
        <f t="shared" si="25"/>
        <v>0</v>
      </c>
      <c r="BY44" s="286">
        <f t="shared" si="44"/>
        <v>0</v>
      </c>
      <c r="CA44"/>
    </row>
    <row r="45" spans="2:79" ht="15.75" customHeight="1">
      <c r="C45" t="s">
        <v>254</v>
      </c>
      <c r="D45" t="s">
        <v>8</v>
      </c>
      <c r="E45" s="192">
        <v>10</v>
      </c>
      <c r="F45" s="192">
        <v>6</v>
      </c>
      <c r="V45" s="58">
        <f t="shared" si="26"/>
        <v>55974</v>
      </c>
      <c r="W45" s="6">
        <v>29</v>
      </c>
      <c r="X45" s="282" t="str">
        <f t="shared" si="27"/>
        <v>-</v>
      </c>
      <c r="Y45" s="161">
        <f t="shared" si="0"/>
        <v>0</v>
      </c>
      <c r="Z45" s="159">
        <f t="shared" si="1"/>
        <v>0</v>
      </c>
      <c r="AA45" s="159">
        <f t="shared" si="2"/>
        <v>0</v>
      </c>
      <c r="AB45" s="159">
        <f t="shared" si="3"/>
        <v>0</v>
      </c>
      <c r="AC45" s="160">
        <f t="shared" si="28"/>
        <v>0</v>
      </c>
      <c r="AD45" s="161">
        <f t="shared" si="4"/>
        <v>0</v>
      </c>
      <c r="AE45" s="159">
        <f t="shared" si="5"/>
        <v>0</v>
      </c>
      <c r="AF45" s="159">
        <f t="shared" si="6"/>
        <v>0</v>
      </c>
      <c r="AG45" s="159">
        <f>IF(AND(SUM($AA$16:AA44)&gt;0,SUM($AG$16:AG44)&lt;$O$62,$W45&gt;=$O$65),$O$64,0)</f>
        <v>0</v>
      </c>
      <c r="AH45" s="156">
        <f>IF(SUM($AA$17:$AA44)&gt;0,($O$62-SUM($AG$17:$AG44))*$F$65,0)</f>
        <v>0</v>
      </c>
      <c r="AI45" s="160">
        <f t="shared" si="29"/>
        <v>0</v>
      </c>
      <c r="AJ45" s="156">
        <f t="shared" si="7"/>
        <v>0</v>
      </c>
      <c r="AK45" s="158">
        <f>(SUM($P$31,$P$51)-SUM($AU$17:AU44))*$O$109</f>
        <v>0</v>
      </c>
      <c r="AL45" s="163"/>
      <c r="AM45" s="157">
        <f t="shared" si="8"/>
        <v>0</v>
      </c>
      <c r="AN45" s="164"/>
      <c r="AO45" s="155">
        <f t="shared" si="9"/>
        <v>0</v>
      </c>
      <c r="AP45" s="156">
        <f t="shared" si="10"/>
        <v>0</v>
      </c>
      <c r="AQ45" s="156">
        <f t="shared" si="11"/>
        <v>0</v>
      </c>
      <c r="AR45" s="159">
        <f t="shared" si="12"/>
        <v>0</v>
      </c>
      <c r="AS45" s="160">
        <f t="shared" si="30"/>
        <v>0</v>
      </c>
      <c r="AT45" s="159">
        <f t="shared" si="13"/>
        <v>0</v>
      </c>
      <c r="AU45" s="159">
        <f t="shared" si="14"/>
        <v>0</v>
      </c>
      <c r="AV45" s="159">
        <f t="shared" si="15"/>
        <v>0</v>
      </c>
      <c r="AW45" s="159">
        <f t="shared" si="31"/>
        <v>0</v>
      </c>
      <c r="AX45" s="159">
        <f t="shared" si="32"/>
        <v>0</v>
      </c>
      <c r="AY45" s="159">
        <f t="shared" si="16"/>
        <v>0</v>
      </c>
      <c r="AZ45" s="159">
        <f>IF(AND(SUM($AQ$16:AQ44)&gt;0,SUM($AZ$16:AZ44)&lt;$P$62,$W45&gt;=$P$65),$P$64,0)</f>
        <v>0</v>
      </c>
      <c r="BA45" s="159">
        <f>IF(SUM($AQ$17:$AQ44)&gt;0,($P$62-SUM($AZ$17:$AZ44))*$F$65,0)</f>
        <v>0</v>
      </c>
      <c r="BB45" s="160">
        <f t="shared" si="33"/>
        <v>0</v>
      </c>
      <c r="BC45" s="156">
        <f t="shared" si="34"/>
        <v>0</v>
      </c>
      <c r="BD45" s="157">
        <f t="shared" si="17"/>
        <v>0</v>
      </c>
      <c r="BE45" s="49"/>
      <c r="BF45" s="46">
        <f t="shared" si="35"/>
        <v>0.37395181457587451</v>
      </c>
      <c r="BH45" s="155">
        <f t="shared" si="36"/>
        <v>0</v>
      </c>
      <c r="BI45" s="155">
        <f t="shared" si="37"/>
        <v>0</v>
      </c>
      <c r="BJ45" s="156">
        <f t="shared" si="38"/>
        <v>0</v>
      </c>
      <c r="BK45" s="156">
        <f t="shared" si="39"/>
        <v>0</v>
      </c>
      <c r="BL45" s="156">
        <f t="shared" si="40"/>
        <v>0</v>
      </c>
      <c r="BM45" s="156">
        <f t="shared" si="18"/>
        <v>0</v>
      </c>
      <c r="BN45" s="157">
        <f t="shared" si="41"/>
        <v>0</v>
      </c>
      <c r="BO45" s="156">
        <f t="shared" si="19"/>
        <v>0</v>
      </c>
      <c r="BP45" s="156">
        <f t="shared" si="20"/>
        <v>0</v>
      </c>
      <c r="BQ45" s="156">
        <f t="shared" si="21"/>
        <v>0</v>
      </c>
      <c r="BR45" s="156">
        <f t="shared" si="22"/>
        <v>0</v>
      </c>
      <c r="BS45" s="228">
        <f t="shared" si="42"/>
        <v>0</v>
      </c>
      <c r="BT45" s="156">
        <f t="shared" si="23"/>
        <v>0</v>
      </c>
      <c r="BU45" s="157">
        <f t="shared" si="43"/>
        <v>0</v>
      </c>
      <c r="BV45" s="157">
        <f t="shared" si="24"/>
        <v>0</v>
      </c>
      <c r="BW45" s="153"/>
      <c r="BX45" s="158">
        <f t="shared" si="25"/>
        <v>0</v>
      </c>
      <c r="BY45" s="286">
        <f t="shared" si="44"/>
        <v>0</v>
      </c>
      <c r="CA45"/>
    </row>
    <row r="46" spans="2:79" ht="15.75" customHeight="1">
      <c r="B46" t="s">
        <v>224</v>
      </c>
      <c r="J46" s="4" t="s">
        <v>218</v>
      </c>
      <c r="V46" s="58">
        <f t="shared" si="26"/>
        <v>56339</v>
      </c>
      <c r="W46" s="6">
        <v>30</v>
      </c>
      <c r="X46" s="282" t="str">
        <f t="shared" si="27"/>
        <v>-</v>
      </c>
      <c r="Y46" s="161">
        <f t="shared" si="0"/>
        <v>0</v>
      </c>
      <c r="Z46" s="159">
        <f t="shared" si="1"/>
        <v>0</v>
      </c>
      <c r="AA46" s="159">
        <f t="shared" si="2"/>
        <v>0</v>
      </c>
      <c r="AB46" s="159">
        <f t="shared" si="3"/>
        <v>0</v>
      </c>
      <c r="AC46" s="160">
        <f t="shared" si="28"/>
        <v>0</v>
      </c>
      <c r="AD46" s="161">
        <f t="shared" si="4"/>
        <v>0</v>
      </c>
      <c r="AE46" s="159">
        <f t="shared" si="5"/>
        <v>0</v>
      </c>
      <c r="AF46" s="159">
        <f t="shared" si="6"/>
        <v>0</v>
      </c>
      <c r="AG46" s="159">
        <f>IF(AND(SUM($AA$16:AA45)&gt;0,SUM($AG$16:AG45)&lt;$O$62,$W46&gt;=$O$65),$O$64,0)</f>
        <v>0</v>
      </c>
      <c r="AH46" s="156">
        <f>IF(SUM($AA$17:$AA45)&gt;0,($O$62-SUM($AG$17:$AG45))*$F$65,0)</f>
        <v>0</v>
      </c>
      <c r="AI46" s="160">
        <f t="shared" si="29"/>
        <v>0</v>
      </c>
      <c r="AJ46" s="156">
        <f t="shared" si="7"/>
        <v>0</v>
      </c>
      <c r="AK46" s="158">
        <f>(SUM($P$31,$P$51)-SUM($AU$17:AU45))*$O$109</f>
        <v>0</v>
      </c>
      <c r="AL46" s="163"/>
      <c r="AM46" s="157">
        <f t="shared" si="8"/>
        <v>0</v>
      </c>
      <c r="AN46" s="164"/>
      <c r="AO46" s="155">
        <f t="shared" si="9"/>
        <v>0</v>
      </c>
      <c r="AP46" s="156">
        <f t="shared" si="10"/>
        <v>0</v>
      </c>
      <c r="AQ46" s="156">
        <f t="shared" si="11"/>
        <v>0</v>
      </c>
      <c r="AR46" s="159">
        <f t="shared" si="12"/>
        <v>0</v>
      </c>
      <c r="AS46" s="160">
        <f t="shared" si="30"/>
        <v>0</v>
      </c>
      <c r="AT46" s="159">
        <f t="shared" si="13"/>
        <v>0</v>
      </c>
      <c r="AU46" s="159">
        <f t="shared" si="14"/>
        <v>0</v>
      </c>
      <c r="AV46" s="159">
        <f t="shared" si="15"/>
        <v>0</v>
      </c>
      <c r="AW46" s="159">
        <f t="shared" si="31"/>
        <v>0</v>
      </c>
      <c r="AX46" s="159">
        <f t="shared" si="32"/>
        <v>0</v>
      </c>
      <c r="AY46" s="159">
        <f t="shared" si="16"/>
        <v>0</v>
      </c>
      <c r="AZ46" s="159">
        <f>IF(AND(SUM($AQ$16:AQ45)&gt;0,SUM($AZ$16:AZ45)&lt;$P$62,$W46&gt;=$P$65),$P$64,0)</f>
        <v>0</v>
      </c>
      <c r="BA46" s="159">
        <f>IF(SUM($AQ$17:$AQ45)&gt;0,($P$62-SUM($AZ$17:$AZ45))*$F$65,0)</f>
        <v>0</v>
      </c>
      <c r="BB46" s="160">
        <f t="shared" si="33"/>
        <v>0</v>
      </c>
      <c r="BC46" s="156">
        <f t="shared" si="34"/>
        <v>0</v>
      </c>
      <c r="BD46" s="157">
        <f t="shared" si="17"/>
        <v>0</v>
      </c>
      <c r="BE46" s="49"/>
      <c r="BF46" s="47">
        <f t="shared" si="35"/>
        <v>0.36148072941118853</v>
      </c>
      <c r="BH46" s="155">
        <f t="shared" si="36"/>
        <v>0</v>
      </c>
      <c r="BI46" s="155">
        <f t="shared" si="37"/>
        <v>0</v>
      </c>
      <c r="BJ46" s="156">
        <f t="shared" si="38"/>
        <v>0</v>
      </c>
      <c r="BK46" s="156">
        <f t="shared" si="39"/>
        <v>0</v>
      </c>
      <c r="BL46" s="156">
        <f t="shared" si="40"/>
        <v>0</v>
      </c>
      <c r="BM46" s="159">
        <f t="shared" si="18"/>
        <v>0</v>
      </c>
      <c r="BN46" s="160">
        <f t="shared" si="41"/>
        <v>0</v>
      </c>
      <c r="BO46" s="156">
        <f t="shared" si="19"/>
        <v>0</v>
      </c>
      <c r="BP46" s="156">
        <f t="shared" si="20"/>
        <v>0</v>
      </c>
      <c r="BQ46" s="156">
        <f t="shared" si="21"/>
        <v>0</v>
      </c>
      <c r="BR46" s="156">
        <f t="shared" si="22"/>
        <v>0</v>
      </c>
      <c r="BS46" s="228">
        <f t="shared" si="42"/>
        <v>0</v>
      </c>
      <c r="BT46" s="156">
        <f t="shared" si="23"/>
        <v>0</v>
      </c>
      <c r="BU46" s="160">
        <f t="shared" si="43"/>
        <v>0</v>
      </c>
      <c r="BV46" s="160">
        <f t="shared" si="24"/>
        <v>0</v>
      </c>
      <c r="BW46" s="153"/>
      <c r="BX46" s="158">
        <f t="shared" si="25"/>
        <v>0</v>
      </c>
      <c r="BY46" s="286">
        <f t="shared" si="44"/>
        <v>0</v>
      </c>
      <c r="CA46"/>
    </row>
    <row r="47" spans="2:79" ht="15.75" customHeight="1">
      <c r="F47" s="73">
        <v>1</v>
      </c>
      <c r="G47">
        <v>0</v>
      </c>
      <c r="H47" t="s">
        <v>162</v>
      </c>
      <c r="K47" t="s">
        <v>163</v>
      </c>
      <c r="V47" s="58">
        <f t="shared" ref="V47:V56" si="45">IF(W47=1,DATE(YEAR($F$18)+(MONTH($F$18)&gt;=4),4,0),EOMONTH(V46,12))</f>
        <v>56704</v>
      </c>
      <c r="W47" s="6">
        <v>31</v>
      </c>
      <c r="X47" s="282" t="str">
        <f t="shared" si="27"/>
        <v>-</v>
      </c>
      <c r="Y47" s="161">
        <f t="shared" si="0"/>
        <v>0</v>
      </c>
      <c r="Z47" s="159">
        <f t="shared" si="1"/>
        <v>0</v>
      </c>
      <c r="AA47" s="159">
        <f t="shared" si="2"/>
        <v>0</v>
      </c>
      <c r="AB47" s="159">
        <f t="shared" ref="AB47:AB56" si="46">IF(X47="維持管理・運営期間",$F$56,0)</f>
        <v>0</v>
      </c>
      <c r="AC47" s="160">
        <f t="shared" ref="AC47:AC56" si="47">SUM(Y47:Z47,AB47)</f>
        <v>0</v>
      </c>
      <c r="AD47" s="161">
        <f t="shared" si="4"/>
        <v>0</v>
      </c>
      <c r="AE47" s="159">
        <f t="shared" si="5"/>
        <v>0</v>
      </c>
      <c r="AF47" s="159">
        <f t="shared" ref="AF47:AF56" si="48">IF(AND($W47&gt;0,$W47&lt;=$O$16),$E$45,0)</f>
        <v>0</v>
      </c>
      <c r="AG47" s="159">
        <f>IF(AND(SUM($AA$16:AA46)&gt;0,SUM($AG$16:AG46)&lt;$O$62,$W47&gt;=$O$65),$O$64,0)</f>
        <v>0</v>
      </c>
      <c r="AH47" s="156">
        <f>IF(SUM($AA$17:$AA46)&gt;0,($O$62-SUM($AG$17:$AG46))*$F$65,0)</f>
        <v>0</v>
      </c>
      <c r="AI47" s="160">
        <f t="shared" ref="AI47:AI56" si="49">SUM(AD47:AF47)</f>
        <v>0</v>
      </c>
      <c r="AJ47" s="156">
        <f t="shared" ref="AJ47:AJ56" si="50">AC47-AI47</f>
        <v>0</v>
      </c>
      <c r="AK47" s="158">
        <f>(SUM($P$31,$P$51)-SUM($AU$17:AU46))*$O$109</f>
        <v>0</v>
      </c>
      <c r="AL47" s="163"/>
      <c r="AM47" s="157">
        <f t="shared" ref="AM47:AM56" si="51">AJ47*$BF47</f>
        <v>0</v>
      </c>
      <c r="AN47" s="164"/>
      <c r="AO47" s="155">
        <f t="shared" si="9"/>
        <v>0</v>
      </c>
      <c r="AP47" s="156">
        <f t="shared" si="10"/>
        <v>0</v>
      </c>
      <c r="AQ47" s="156">
        <f t="shared" si="11"/>
        <v>0</v>
      </c>
      <c r="AR47" s="159">
        <f t="shared" ref="AR47:AR56" si="52">IF($W47&lt;$O$16,IF(W47=$F$16,$U$92,$U$93),0)</f>
        <v>0</v>
      </c>
      <c r="AS47" s="160">
        <f t="shared" ref="AS47:AS56" si="53">SUM(AO47:AP47,AR47)</f>
        <v>0</v>
      </c>
      <c r="AT47" s="159">
        <f t="shared" ref="AT47:AT56" si="54">IF(W47=$F$16,$P$30,0)</f>
        <v>0</v>
      </c>
      <c r="AU47" s="159">
        <f t="shared" si="14"/>
        <v>0</v>
      </c>
      <c r="AV47" s="159">
        <f t="shared" si="15"/>
        <v>0</v>
      </c>
      <c r="AW47" s="159">
        <f t="shared" ref="AW47:AW56" si="55">IF(AND(W47&gt;$F$16,W47&lt;=SUM($F$16:$F$17)),$P$43,0)</f>
        <v>0</v>
      </c>
      <c r="AX47" s="159">
        <f t="shared" si="32"/>
        <v>0</v>
      </c>
      <c r="AY47" s="159">
        <f t="shared" si="16"/>
        <v>0</v>
      </c>
      <c r="AZ47" s="159">
        <f>IF(AND(SUM($AQ$16:AQ46)&gt;0,SUM($AZ$16:AZ46)&lt;$P$62,$W47&gt;=$P$65),$P$64,0)</f>
        <v>0</v>
      </c>
      <c r="BA47" s="159">
        <f>IF(SUM($AQ$17:$AQ46)&gt;0,($P$62-SUM($AZ$17:$AZ46))*$F$65,0)</f>
        <v>0</v>
      </c>
      <c r="BB47" s="160">
        <f t="shared" ref="BB47:BB56" si="56">SUM(AT47:AY47)</f>
        <v>0</v>
      </c>
      <c r="BC47" s="156">
        <f t="shared" ref="BC47:BC56" si="57">AS47-BB47</f>
        <v>0</v>
      </c>
      <c r="BD47" s="157">
        <f t="shared" ref="BD47:BD56" si="58">BC47*$BF47</f>
        <v>0</v>
      </c>
      <c r="BE47" s="49"/>
      <c r="BF47" s="47">
        <f t="shared" si="35"/>
        <v>0.34942554800501552</v>
      </c>
      <c r="BH47" s="155">
        <f t="shared" ref="BH47:BH56" si="59">AT47</f>
        <v>0</v>
      </c>
      <c r="BI47" s="155">
        <f t="shared" ref="BI47:BI56" si="60">AU47</f>
        <v>0</v>
      </c>
      <c r="BJ47" s="156">
        <f t="shared" ref="BJ47:BJ56" si="61">AV47</f>
        <v>0</v>
      </c>
      <c r="BK47" s="156">
        <f t="shared" ref="BK47:BK56" si="62">AW47</f>
        <v>0</v>
      </c>
      <c r="BL47" s="156">
        <f t="shared" ref="BL47:BL56" si="63">AY47</f>
        <v>0</v>
      </c>
      <c r="BM47" s="159">
        <f t="shared" ref="BM47:BM56" si="64">IF($W47&gt;$F$16,$F$56,0)</f>
        <v>0</v>
      </c>
      <c r="BN47" s="160">
        <f t="shared" ref="BN47:BN56" si="65">SUM(BH47:BM47)</f>
        <v>0</v>
      </c>
      <c r="BO47" s="156">
        <f t="shared" si="19"/>
        <v>0</v>
      </c>
      <c r="BP47" s="156">
        <f t="shared" ref="BP47:BP56" si="66">IF(AND(W47&gt;$F$16,W47&lt;=SUM($F$16:$F$17)),$P$41,0)</f>
        <v>0</v>
      </c>
      <c r="BQ47" s="156">
        <f t="shared" si="21"/>
        <v>0</v>
      </c>
      <c r="BR47" s="156">
        <f t="shared" ref="BR47:BR56" si="67">IF($W47&lt;=$O$16,$F$105,0)</f>
        <v>0</v>
      </c>
      <c r="BS47" s="228">
        <f t="shared" si="42"/>
        <v>0</v>
      </c>
      <c r="BT47" s="156">
        <f t="shared" ref="BT47:BT56" si="68">IF($W47&lt;$O$16,IF(W47=$F$16,$P$93,$P$94),0)</f>
        <v>0</v>
      </c>
      <c r="BU47" s="160">
        <f t="shared" ref="BU47:BU56" si="69">SUM(BO47:BP47,BR47:BT47)</f>
        <v>0</v>
      </c>
      <c r="BV47" s="160">
        <f t="shared" ref="BV47:BV56" si="70">BN47-BU47</f>
        <v>0</v>
      </c>
      <c r="BW47" s="153"/>
      <c r="BX47" s="158">
        <f t="shared" si="25"/>
        <v>0</v>
      </c>
      <c r="BY47" s="286">
        <f t="shared" ref="BY47:BY56" si="71">IF(BV47-BX47&gt;=0,0,1)</f>
        <v>0</v>
      </c>
      <c r="CA47"/>
    </row>
    <row r="48" spans="2:79" ht="15.75" customHeight="1">
      <c r="G48">
        <v>1</v>
      </c>
      <c r="H48" t="s">
        <v>161</v>
      </c>
      <c r="I48" s="19"/>
      <c r="M48" t="s">
        <v>164</v>
      </c>
      <c r="N48" s="19" t="s">
        <v>8</v>
      </c>
      <c r="O48" s="53"/>
      <c r="P48" s="121">
        <f>F104</f>
        <v>0</v>
      </c>
      <c r="V48" s="58">
        <f t="shared" si="45"/>
        <v>57070</v>
      </c>
      <c r="W48" s="6">
        <v>32</v>
      </c>
      <c r="X48" s="282" t="str">
        <f t="shared" si="27"/>
        <v>-</v>
      </c>
      <c r="Y48" s="161">
        <f t="shared" si="0"/>
        <v>0</v>
      </c>
      <c r="Z48" s="159">
        <f t="shared" si="1"/>
        <v>0</v>
      </c>
      <c r="AA48" s="159">
        <f t="shared" si="2"/>
        <v>0</v>
      </c>
      <c r="AB48" s="159">
        <f t="shared" si="46"/>
        <v>0</v>
      </c>
      <c r="AC48" s="160">
        <f t="shared" si="47"/>
        <v>0</v>
      </c>
      <c r="AD48" s="161">
        <f t="shared" si="4"/>
        <v>0</v>
      </c>
      <c r="AE48" s="159">
        <f t="shared" si="5"/>
        <v>0</v>
      </c>
      <c r="AF48" s="159">
        <f t="shared" si="48"/>
        <v>0</v>
      </c>
      <c r="AG48" s="159">
        <f>IF(AND(SUM($AA$16:AA47)&gt;0,SUM($AG$16:AG47)&lt;$O$62,$W48&gt;=$O$65),$O$64,0)</f>
        <v>0</v>
      </c>
      <c r="AH48" s="156">
        <f>IF(SUM($AA$17:$AA47)&gt;0,($O$62-SUM($AG$17:$AG47))*$F$65,0)</f>
        <v>0</v>
      </c>
      <c r="AI48" s="160">
        <f t="shared" si="49"/>
        <v>0</v>
      </c>
      <c r="AJ48" s="156">
        <f t="shared" si="50"/>
        <v>0</v>
      </c>
      <c r="AK48" s="158">
        <f>(SUM($P$31,$P$51)-SUM($AU$17:AU47))*$O$109</f>
        <v>0</v>
      </c>
      <c r="AL48" s="163"/>
      <c r="AM48" s="157">
        <f t="shared" si="51"/>
        <v>0</v>
      </c>
      <c r="AN48" s="164"/>
      <c r="AO48" s="155">
        <f t="shared" si="9"/>
        <v>0</v>
      </c>
      <c r="AP48" s="156">
        <f t="shared" si="10"/>
        <v>0</v>
      </c>
      <c r="AQ48" s="156">
        <f t="shared" si="11"/>
        <v>0</v>
      </c>
      <c r="AR48" s="159">
        <f t="shared" si="52"/>
        <v>0</v>
      </c>
      <c r="AS48" s="160">
        <f t="shared" si="53"/>
        <v>0</v>
      </c>
      <c r="AT48" s="159">
        <f t="shared" si="54"/>
        <v>0</v>
      </c>
      <c r="AU48" s="159">
        <f t="shared" si="14"/>
        <v>0</v>
      </c>
      <c r="AV48" s="159">
        <f t="shared" si="15"/>
        <v>0</v>
      </c>
      <c r="AW48" s="159">
        <f t="shared" si="55"/>
        <v>0</v>
      </c>
      <c r="AX48" s="159">
        <f t="shared" si="32"/>
        <v>0</v>
      </c>
      <c r="AY48" s="159">
        <f t="shared" si="16"/>
        <v>0</v>
      </c>
      <c r="AZ48" s="159">
        <f>IF(AND(SUM($AQ$16:AQ47)&gt;0,SUM($AZ$16:AZ47)&lt;$P$62,$W48&gt;=$P$65),$P$64,0)</f>
        <v>0</v>
      </c>
      <c r="BA48" s="159">
        <f>IF(SUM($AQ$17:$AQ47)&gt;0,($P$62-SUM($AZ$17:$AZ47))*$F$65,0)</f>
        <v>0</v>
      </c>
      <c r="BB48" s="160">
        <f t="shared" si="56"/>
        <v>0</v>
      </c>
      <c r="BC48" s="156">
        <f t="shared" si="57"/>
        <v>0</v>
      </c>
      <c r="BD48" s="157">
        <f t="shared" si="58"/>
        <v>0</v>
      </c>
      <c r="BE48" s="49"/>
      <c r="BF48" s="47">
        <f t="shared" si="35"/>
        <v>0.33777240019817839</v>
      </c>
      <c r="BH48" s="155">
        <f t="shared" si="59"/>
        <v>0</v>
      </c>
      <c r="BI48" s="155">
        <f t="shared" si="60"/>
        <v>0</v>
      </c>
      <c r="BJ48" s="156">
        <f t="shared" si="61"/>
        <v>0</v>
      </c>
      <c r="BK48" s="156">
        <f t="shared" si="62"/>
        <v>0</v>
      </c>
      <c r="BL48" s="156">
        <f t="shared" si="63"/>
        <v>0</v>
      </c>
      <c r="BM48" s="159">
        <f t="shared" si="64"/>
        <v>0</v>
      </c>
      <c r="BN48" s="160">
        <f t="shared" si="65"/>
        <v>0</v>
      </c>
      <c r="BO48" s="156">
        <f t="shared" si="19"/>
        <v>0</v>
      </c>
      <c r="BP48" s="156">
        <f t="shared" si="66"/>
        <v>0</v>
      </c>
      <c r="BQ48" s="156">
        <f t="shared" si="21"/>
        <v>0</v>
      </c>
      <c r="BR48" s="156">
        <f t="shared" si="67"/>
        <v>0</v>
      </c>
      <c r="BS48" s="228">
        <f t="shared" si="42"/>
        <v>0</v>
      </c>
      <c r="BT48" s="156">
        <f t="shared" si="68"/>
        <v>0</v>
      </c>
      <c r="BU48" s="160">
        <f t="shared" si="69"/>
        <v>0</v>
      </c>
      <c r="BV48" s="160">
        <f t="shared" si="70"/>
        <v>0</v>
      </c>
      <c r="BW48" s="153"/>
      <c r="BX48" s="158">
        <f t="shared" si="25"/>
        <v>0</v>
      </c>
      <c r="BY48" s="286">
        <f t="shared" si="71"/>
        <v>0</v>
      </c>
    </row>
    <row r="49" spans="1:77" ht="15.75" customHeight="1">
      <c r="B49" s="93" t="s">
        <v>216</v>
      </c>
      <c r="M49" t="s">
        <v>169</v>
      </c>
      <c r="N49" s="19" t="s">
        <v>8</v>
      </c>
      <c r="O49" s="122"/>
      <c r="P49" s="123">
        <f>F105*$F$16</f>
        <v>0</v>
      </c>
      <c r="V49" s="58">
        <f t="shared" si="45"/>
        <v>57435</v>
      </c>
      <c r="W49" s="6">
        <v>33</v>
      </c>
      <c r="X49" s="282" t="str">
        <f t="shared" si="27"/>
        <v>-</v>
      </c>
      <c r="Y49" s="161">
        <f t="shared" si="0"/>
        <v>0</v>
      </c>
      <c r="Z49" s="159">
        <f t="shared" si="1"/>
        <v>0</v>
      </c>
      <c r="AA49" s="159">
        <f t="shared" si="2"/>
        <v>0</v>
      </c>
      <c r="AB49" s="159">
        <f t="shared" si="46"/>
        <v>0</v>
      </c>
      <c r="AC49" s="160">
        <f t="shared" si="47"/>
        <v>0</v>
      </c>
      <c r="AD49" s="161">
        <f t="shared" si="4"/>
        <v>0</v>
      </c>
      <c r="AE49" s="159">
        <f t="shared" si="5"/>
        <v>0</v>
      </c>
      <c r="AF49" s="159">
        <f t="shared" si="48"/>
        <v>0</v>
      </c>
      <c r="AG49" s="159">
        <f>IF(AND(SUM($AA$16:AA48)&gt;0,SUM($AG$16:AG48)&lt;$O$62,$W49&gt;=$O$65),$O$64,0)</f>
        <v>0</v>
      </c>
      <c r="AH49" s="156">
        <f>IF(SUM($AA$17:$AA48)&gt;0,($O$62-SUM($AG$17:$AG48))*$F$65,0)</f>
        <v>0</v>
      </c>
      <c r="AI49" s="160">
        <f t="shared" si="49"/>
        <v>0</v>
      </c>
      <c r="AJ49" s="156">
        <f t="shared" si="50"/>
        <v>0</v>
      </c>
      <c r="AK49" s="158">
        <f>(SUM($P$31,$P$51)-SUM($AU$17:AU48))*$O$109</f>
        <v>0</v>
      </c>
      <c r="AL49" s="163"/>
      <c r="AM49" s="157">
        <f t="shared" si="51"/>
        <v>0</v>
      </c>
      <c r="AN49" s="164"/>
      <c r="AO49" s="155">
        <f t="shared" si="9"/>
        <v>0</v>
      </c>
      <c r="AP49" s="156">
        <f t="shared" si="10"/>
        <v>0</v>
      </c>
      <c r="AQ49" s="156">
        <f t="shared" si="11"/>
        <v>0</v>
      </c>
      <c r="AR49" s="159">
        <f t="shared" si="52"/>
        <v>0</v>
      </c>
      <c r="AS49" s="160">
        <f t="shared" si="53"/>
        <v>0</v>
      </c>
      <c r="AT49" s="159">
        <f t="shared" si="54"/>
        <v>0</v>
      </c>
      <c r="AU49" s="159">
        <f t="shared" si="14"/>
        <v>0</v>
      </c>
      <c r="AV49" s="159">
        <f t="shared" si="15"/>
        <v>0</v>
      </c>
      <c r="AW49" s="159">
        <f t="shared" si="55"/>
        <v>0</v>
      </c>
      <c r="AX49" s="159">
        <f t="shared" si="32"/>
        <v>0</v>
      </c>
      <c r="AY49" s="159">
        <f t="shared" si="16"/>
        <v>0</v>
      </c>
      <c r="AZ49" s="159">
        <f>IF(AND(SUM($AQ$16:AQ48)&gt;0,SUM($AZ$16:AZ48)&lt;$P$62,$W49&gt;=$P$65),$P$64,0)</f>
        <v>0</v>
      </c>
      <c r="BA49" s="159">
        <f>IF(SUM($AQ$17:$AQ48)&gt;0,($P$62-SUM($AZ$17:$AZ48))*$F$65,0)</f>
        <v>0</v>
      </c>
      <c r="BB49" s="160">
        <f t="shared" si="56"/>
        <v>0</v>
      </c>
      <c r="BC49" s="156">
        <f t="shared" si="57"/>
        <v>0</v>
      </c>
      <c r="BD49" s="157">
        <f t="shared" si="58"/>
        <v>0</v>
      </c>
      <c r="BE49" s="49"/>
      <c r="BF49" s="47">
        <f t="shared" si="35"/>
        <v>0.32650787839359924</v>
      </c>
      <c r="BH49" s="155">
        <f t="shared" si="59"/>
        <v>0</v>
      </c>
      <c r="BI49" s="155">
        <f t="shared" si="60"/>
        <v>0</v>
      </c>
      <c r="BJ49" s="156">
        <f t="shared" si="61"/>
        <v>0</v>
      </c>
      <c r="BK49" s="156">
        <f t="shared" si="62"/>
        <v>0</v>
      </c>
      <c r="BL49" s="156">
        <f t="shared" si="63"/>
        <v>0</v>
      </c>
      <c r="BM49" s="159">
        <f t="shared" si="64"/>
        <v>0</v>
      </c>
      <c r="BN49" s="160">
        <f t="shared" si="65"/>
        <v>0</v>
      </c>
      <c r="BO49" s="156">
        <f t="shared" si="19"/>
        <v>0</v>
      </c>
      <c r="BP49" s="156">
        <f t="shared" si="66"/>
        <v>0</v>
      </c>
      <c r="BQ49" s="156">
        <f t="shared" si="21"/>
        <v>0</v>
      </c>
      <c r="BR49" s="156">
        <f t="shared" si="67"/>
        <v>0</v>
      </c>
      <c r="BS49" s="228">
        <f t="shared" si="42"/>
        <v>0</v>
      </c>
      <c r="BT49" s="156">
        <f t="shared" si="68"/>
        <v>0</v>
      </c>
      <c r="BU49" s="160">
        <f t="shared" si="69"/>
        <v>0</v>
      </c>
      <c r="BV49" s="160">
        <f t="shared" si="70"/>
        <v>0</v>
      </c>
      <c r="BW49" s="153"/>
      <c r="BX49" s="158">
        <f t="shared" si="25"/>
        <v>0</v>
      </c>
      <c r="BY49" s="286">
        <f t="shared" si="71"/>
        <v>0</v>
      </c>
    </row>
    <row r="50" spans="1:77" ht="15.75" customHeight="1" thickBot="1">
      <c r="C50" s="56" t="s">
        <v>115</v>
      </c>
      <c r="D50" t="s">
        <v>6</v>
      </c>
      <c r="F50" s="268">
        <v>0.95</v>
      </c>
      <c r="H50" s="56" t="s">
        <v>108</v>
      </c>
      <c r="M50" t="s">
        <v>171</v>
      </c>
      <c r="N50" s="19" t="s">
        <v>8</v>
      </c>
      <c r="O50" s="122"/>
      <c r="P50" s="123">
        <f>SUM(P82,P86)+P92</f>
        <v>0</v>
      </c>
      <c r="Q50" t="s">
        <v>172</v>
      </c>
      <c r="V50" s="58">
        <f t="shared" si="45"/>
        <v>57800</v>
      </c>
      <c r="W50" s="6">
        <v>34</v>
      </c>
      <c r="X50" s="282" t="str">
        <f t="shared" si="27"/>
        <v>-</v>
      </c>
      <c r="Y50" s="161">
        <f t="shared" si="0"/>
        <v>0</v>
      </c>
      <c r="Z50" s="159">
        <f t="shared" si="1"/>
        <v>0</v>
      </c>
      <c r="AA50" s="159">
        <f t="shared" si="2"/>
        <v>0</v>
      </c>
      <c r="AB50" s="159">
        <f t="shared" si="46"/>
        <v>0</v>
      </c>
      <c r="AC50" s="160">
        <f t="shared" si="47"/>
        <v>0</v>
      </c>
      <c r="AD50" s="161">
        <f t="shared" si="4"/>
        <v>0</v>
      </c>
      <c r="AE50" s="159">
        <f t="shared" si="5"/>
        <v>0</v>
      </c>
      <c r="AF50" s="159">
        <f t="shared" si="48"/>
        <v>0</v>
      </c>
      <c r="AG50" s="159">
        <f>IF(AND(SUM($AA$16:AA49)&gt;0,SUM($AG$16:AG49)&lt;$O$62,$W50&gt;=$O$65),$O$64,0)</f>
        <v>0</v>
      </c>
      <c r="AH50" s="156">
        <f>IF(SUM($AA$17:$AA49)&gt;0,($O$62-SUM($AG$17:$AG49))*$F$65,0)</f>
        <v>0</v>
      </c>
      <c r="AI50" s="160">
        <f t="shared" si="49"/>
        <v>0</v>
      </c>
      <c r="AJ50" s="156">
        <f t="shared" si="50"/>
        <v>0</v>
      </c>
      <c r="AK50" s="158">
        <f>(SUM($P$31,$P$51)-SUM($AU$17:AU49))*$O$109</f>
        <v>0</v>
      </c>
      <c r="AL50" s="163"/>
      <c r="AM50" s="157">
        <f t="shared" si="51"/>
        <v>0</v>
      </c>
      <c r="AN50" s="164"/>
      <c r="AO50" s="155">
        <f t="shared" si="9"/>
        <v>0</v>
      </c>
      <c r="AP50" s="156">
        <f t="shared" si="10"/>
        <v>0</v>
      </c>
      <c r="AQ50" s="156">
        <f t="shared" si="11"/>
        <v>0</v>
      </c>
      <c r="AR50" s="159">
        <f t="shared" si="52"/>
        <v>0</v>
      </c>
      <c r="AS50" s="160">
        <f t="shared" si="53"/>
        <v>0</v>
      </c>
      <c r="AT50" s="159">
        <f t="shared" si="54"/>
        <v>0</v>
      </c>
      <c r="AU50" s="159">
        <f t="shared" si="14"/>
        <v>0</v>
      </c>
      <c r="AV50" s="159">
        <f t="shared" si="15"/>
        <v>0</v>
      </c>
      <c r="AW50" s="159">
        <f t="shared" si="55"/>
        <v>0</v>
      </c>
      <c r="AX50" s="159">
        <f t="shared" si="32"/>
        <v>0</v>
      </c>
      <c r="AY50" s="159">
        <f t="shared" si="16"/>
        <v>0</v>
      </c>
      <c r="AZ50" s="159">
        <f>IF(AND(SUM($AQ$16:AQ49)&gt;0,SUM($AZ$16:AZ49)&lt;$P$62,$W50&gt;=$P$65),$P$64,0)</f>
        <v>0</v>
      </c>
      <c r="BA50" s="159">
        <f>IF(SUM($AQ$17:$AQ49)&gt;0,($P$62-SUM($AZ$17:$AZ49))*$F$65,0)</f>
        <v>0</v>
      </c>
      <c r="BB50" s="160">
        <f t="shared" si="56"/>
        <v>0</v>
      </c>
      <c r="BC50" s="156">
        <f t="shared" si="57"/>
        <v>0</v>
      </c>
      <c r="BD50" s="157">
        <f t="shared" si="58"/>
        <v>0</v>
      </c>
      <c r="BE50" s="49"/>
      <c r="BF50" s="47">
        <f t="shared" si="35"/>
        <v>0.31561902213011045</v>
      </c>
      <c r="BH50" s="155">
        <f t="shared" si="59"/>
        <v>0</v>
      </c>
      <c r="BI50" s="155">
        <f t="shared" si="60"/>
        <v>0</v>
      </c>
      <c r="BJ50" s="156">
        <f t="shared" si="61"/>
        <v>0</v>
      </c>
      <c r="BK50" s="156">
        <f t="shared" si="62"/>
        <v>0</v>
      </c>
      <c r="BL50" s="156">
        <f t="shared" si="63"/>
        <v>0</v>
      </c>
      <c r="BM50" s="159">
        <f t="shared" si="64"/>
        <v>0</v>
      </c>
      <c r="BN50" s="160">
        <f t="shared" si="65"/>
        <v>0</v>
      </c>
      <c r="BO50" s="156">
        <f t="shared" si="19"/>
        <v>0</v>
      </c>
      <c r="BP50" s="156">
        <f t="shared" si="66"/>
        <v>0</v>
      </c>
      <c r="BQ50" s="156">
        <f t="shared" si="21"/>
        <v>0</v>
      </c>
      <c r="BR50" s="156">
        <f t="shared" si="67"/>
        <v>0</v>
      </c>
      <c r="BS50" s="228">
        <f t="shared" si="42"/>
        <v>0</v>
      </c>
      <c r="BT50" s="156">
        <f t="shared" si="68"/>
        <v>0</v>
      </c>
      <c r="BU50" s="160">
        <f t="shared" si="69"/>
        <v>0</v>
      </c>
      <c r="BV50" s="160">
        <f t="shared" si="70"/>
        <v>0</v>
      </c>
      <c r="BW50" s="153"/>
      <c r="BX50" s="158">
        <f t="shared" si="25"/>
        <v>0</v>
      </c>
      <c r="BY50" s="286">
        <f t="shared" si="71"/>
        <v>0</v>
      </c>
    </row>
    <row r="51" spans="1:77" ht="15.75" customHeight="1" thickBot="1">
      <c r="B51" s="56"/>
      <c r="C51" s="56" t="s">
        <v>116</v>
      </c>
      <c r="D51" t="s">
        <v>6</v>
      </c>
      <c r="F51" s="199">
        <f>事業費用概算!I32</f>
        <v>0.2</v>
      </c>
      <c r="K51" s="124" t="s">
        <v>176</v>
      </c>
      <c r="L51" s="125"/>
      <c r="M51" s="125"/>
      <c r="N51" s="126" t="s">
        <v>8</v>
      </c>
      <c r="O51" s="127"/>
      <c r="P51" s="128">
        <f>SUM(P48:P49)*$F$47</f>
        <v>0</v>
      </c>
      <c r="Q51" t="s">
        <v>166</v>
      </c>
      <c r="V51" s="58">
        <f t="shared" si="45"/>
        <v>58165</v>
      </c>
      <c r="W51" s="6">
        <v>35</v>
      </c>
      <c r="X51" s="282" t="str">
        <f t="shared" si="27"/>
        <v>-</v>
      </c>
      <c r="Y51" s="161">
        <f t="shared" si="0"/>
        <v>0</v>
      </c>
      <c r="Z51" s="159">
        <f t="shared" si="1"/>
        <v>0</v>
      </c>
      <c r="AA51" s="159">
        <f t="shared" si="2"/>
        <v>0</v>
      </c>
      <c r="AB51" s="159">
        <f t="shared" si="46"/>
        <v>0</v>
      </c>
      <c r="AC51" s="160">
        <f t="shared" si="47"/>
        <v>0</v>
      </c>
      <c r="AD51" s="161">
        <f t="shared" si="4"/>
        <v>0</v>
      </c>
      <c r="AE51" s="159">
        <f t="shared" si="5"/>
        <v>0</v>
      </c>
      <c r="AF51" s="159">
        <f t="shared" si="48"/>
        <v>0</v>
      </c>
      <c r="AG51" s="159">
        <f>IF(AND(SUM($AA$16:AA50)&gt;0,SUM($AG$16:AG50)&lt;$O$62,$W51&gt;=$O$65),$O$64,0)</f>
        <v>0</v>
      </c>
      <c r="AH51" s="156">
        <f>IF(SUM($AA$17:$AA50)&gt;0,($O$62-SUM($AG$17:$AG50))*$F$65,0)</f>
        <v>0</v>
      </c>
      <c r="AI51" s="160">
        <f t="shared" si="49"/>
        <v>0</v>
      </c>
      <c r="AJ51" s="156">
        <f t="shared" si="50"/>
        <v>0</v>
      </c>
      <c r="AK51" s="158">
        <f>(SUM($P$31,$P$51)-SUM($AU$17:AU50))*$O$109</f>
        <v>0</v>
      </c>
      <c r="AL51" s="163"/>
      <c r="AM51" s="157">
        <f t="shared" si="51"/>
        <v>0</v>
      </c>
      <c r="AN51" s="164"/>
      <c r="AO51" s="155">
        <f t="shared" si="9"/>
        <v>0</v>
      </c>
      <c r="AP51" s="156">
        <f t="shared" si="10"/>
        <v>0</v>
      </c>
      <c r="AQ51" s="156">
        <f t="shared" si="11"/>
        <v>0</v>
      </c>
      <c r="AR51" s="159">
        <f t="shared" si="52"/>
        <v>0</v>
      </c>
      <c r="AS51" s="160">
        <f t="shared" si="53"/>
        <v>0</v>
      </c>
      <c r="AT51" s="159">
        <f t="shared" si="54"/>
        <v>0</v>
      </c>
      <c r="AU51" s="159">
        <f t="shared" si="14"/>
        <v>0</v>
      </c>
      <c r="AV51" s="159">
        <f t="shared" si="15"/>
        <v>0</v>
      </c>
      <c r="AW51" s="159">
        <f t="shared" si="55"/>
        <v>0</v>
      </c>
      <c r="AX51" s="159">
        <f t="shared" si="32"/>
        <v>0</v>
      </c>
      <c r="AY51" s="159">
        <f t="shared" si="16"/>
        <v>0</v>
      </c>
      <c r="AZ51" s="159">
        <f>IF(AND(SUM($AQ$16:AQ50)&gt;0,SUM($AZ$16:AZ50)&lt;$P$62,$W51&gt;=$P$65),$P$64,0)</f>
        <v>0</v>
      </c>
      <c r="BA51" s="159">
        <f>IF(SUM($AQ$17:$AQ50)&gt;0,($P$62-SUM($AZ$17:$AZ50))*$F$65,0)</f>
        <v>0</v>
      </c>
      <c r="BB51" s="160">
        <f t="shared" si="56"/>
        <v>0</v>
      </c>
      <c r="BC51" s="156">
        <f t="shared" si="57"/>
        <v>0</v>
      </c>
      <c r="BD51" s="157">
        <f t="shared" si="58"/>
        <v>0</v>
      </c>
      <c r="BE51" s="49"/>
      <c r="BF51" s="47">
        <f t="shared" si="35"/>
        <v>0.30509330317072059</v>
      </c>
      <c r="BH51" s="155">
        <f t="shared" si="59"/>
        <v>0</v>
      </c>
      <c r="BI51" s="155">
        <f t="shared" si="60"/>
        <v>0</v>
      </c>
      <c r="BJ51" s="156">
        <f t="shared" si="61"/>
        <v>0</v>
      </c>
      <c r="BK51" s="156">
        <f t="shared" si="62"/>
        <v>0</v>
      </c>
      <c r="BL51" s="156">
        <f t="shared" si="63"/>
        <v>0</v>
      </c>
      <c r="BM51" s="159">
        <f t="shared" si="64"/>
        <v>0</v>
      </c>
      <c r="BN51" s="160">
        <f t="shared" si="65"/>
        <v>0</v>
      </c>
      <c r="BO51" s="156">
        <f t="shared" si="19"/>
        <v>0</v>
      </c>
      <c r="BP51" s="156">
        <f t="shared" si="66"/>
        <v>0</v>
      </c>
      <c r="BQ51" s="156">
        <f t="shared" si="21"/>
        <v>0</v>
      </c>
      <c r="BR51" s="156">
        <f t="shared" si="67"/>
        <v>0</v>
      </c>
      <c r="BS51" s="228">
        <f t="shared" si="42"/>
        <v>0</v>
      </c>
      <c r="BT51" s="156">
        <f t="shared" si="68"/>
        <v>0</v>
      </c>
      <c r="BU51" s="160">
        <f t="shared" si="69"/>
        <v>0</v>
      </c>
      <c r="BV51" s="160">
        <f t="shared" si="70"/>
        <v>0</v>
      </c>
      <c r="BW51" s="153"/>
      <c r="BX51" s="158">
        <f t="shared" si="25"/>
        <v>0</v>
      </c>
      <c r="BY51" s="286">
        <f t="shared" si="71"/>
        <v>0</v>
      </c>
    </row>
    <row r="52" spans="1:77" ht="15.75" customHeight="1">
      <c r="B52" s="56"/>
      <c r="C52" s="56" t="s">
        <v>117</v>
      </c>
      <c r="D52" t="s">
        <v>6</v>
      </c>
      <c r="F52" s="149"/>
      <c r="H52" s="150" t="s">
        <v>201</v>
      </c>
      <c r="M52" t="s">
        <v>165</v>
      </c>
      <c r="N52" s="19" t="s">
        <v>8</v>
      </c>
      <c r="O52" s="129"/>
      <c r="P52" s="130">
        <f>F105</f>
        <v>0</v>
      </c>
      <c r="V52" s="58">
        <f t="shared" si="45"/>
        <v>58531</v>
      </c>
      <c r="W52" s="6">
        <v>36</v>
      </c>
      <c r="X52" s="282" t="str">
        <f t="shared" si="27"/>
        <v>-</v>
      </c>
      <c r="Y52" s="161">
        <f t="shared" si="0"/>
        <v>0</v>
      </c>
      <c r="Z52" s="159">
        <f t="shared" si="1"/>
        <v>0</v>
      </c>
      <c r="AA52" s="159">
        <f t="shared" si="2"/>
        <v>0</v>
      </c>
      <c r="AB52" s="159">
        <f t="shared" si="46"/>
        <v>0</v>
      </c>
      <c r="AC52" s="160">
        <f t="shared" si="47"/>
        <v>0</v>
      </c>
      <c r="AD52" s="161">
        <f t="shared" si="4"/>
        <v>0</v>
      </c>
      <c r="AE52" s="159">
        <f t="shared" si="5"/>
        <v>0</v>
      </c>
      <c r="AF52" s="159">
        <f t="shared" si="48"/>
        <v>0</v>
      </c>
      <c r="AG52" s="159">
        <f>IF(AND(SUM($AA$16:AA51)&gt;0,SUM($AG$16:AG51)&lt;$O$62,$W52&gt;=$O$65),$O$64,0)</f>
        <v>0</v>
      </c>
      <c r="AH52" s="156">
        <f>IF(SUM($AA$17:$AA51)&gt;0,($O$62-SUM($AG$17:$AG51))*$F$65,0)</f>
        <v>0</v>
      </c>
      <c r="AI52" s="160">
        <f t="shared" si="49"/>
        <v>0</v>
      </c>
      <c r="AJ52" s="156">
        <f t="shared" si="50"/>
        <v>0</v>
      </c>
      <c r="AK52" s="158">
        <f>(SUM($P$31,$P$51)-SUM($AU$17:AU51))*$O$109</f>
        <v>0</v>
      </c>
      <c r="AL52" s="163"/>
      <c r="AM52" s="157">
        <f t="shared" si="51"/>
        <v>0</v>
      </c>
      <c r="AN52" s="164"/>
      <c r="AO52" s="155">
        <f t="shared" si="9"/>
        <v>0</v>
      </c>
      <c r="AP52" s="156">
        <f t="shared" si="10"/>
        <v>0</v>
      </c>
      <c r="AQ52" s="156">
        <f t="shared" si="11"/>
        <v>0</v>
      </c>
      <c r="AR52" s="159">
        <f t="shared" si="52"/>
        <v>0</v>
      </c>
      <c r="AS52" s="160">
        <f t="shared" si="53"/>
        <v>0</v>
      </c>
      <c r="AT52" s="159">
        <f t="shared" si="54"/>
        <v>0</v>
      </c>
      <c r="AU52" s="159">
        <f t="shared" si="14"/>
        <v>0</v>
      </c>
      <c r="AV52" s="159">
        <f t="shared" si="15"/>
        <v>0</v>
      </c>
      <c r="AW52" s="159">
        <f t="shared" si="55"/>
        <v>0</v>
      </c>
      <c r="AX52" s="159">
        <f t="shared" si="32"/>
        <v>0</v>
      </c>
      <c r="AY52" s="159">
        <f t="shared" si="16"/>
        <v>0</v>
      </c>
      <c r="AZ52" s="159">
        <f>IF(AND(SUM($AQ$16:AQ51)&gt;0,SUM($AZ$16:AZ51)&lt;$P$62,$W52&gt;=$P$65),$P$64,0)</f>
        <v>0</v>
      </c>
      <c r="BA52" s="159">
        <f>IF(SUM($AQ$17:$AQ51)&gt;0,($P$62-SUM($AZ$17:$AZ51))*$F$65,0)</f>
        <v>0</v>
      </c>
      <c r="BB52" s="160">
        <f t="shared" si="56"/>
        <v>0</v>
      </c>
      <c r="BC52" s="156">
        <f t="shared" si="57"/>
        <v>0</v>
      </c>
      <c r="BD52" s="157">
        <f t="shared" si="58"/>
        <v>0</v>
      </c>
      <c r="BE52" s="49"/>
      <c r="BF52" s="47">
        <f t="shared" si="35"/>
        <v>0.29491861108817846</v>
      </c>
      <c r="BH52" s="155">
        <f t="shared" si="59"/>
        <v>0</v>
      </c>
      <c r="BI52" s="155">
        <f t="shared" si="60"/>
        <v>0</v>
      </c>
      <c r="BJ52" s="156">
        <f t="shared" si="61"/>
        <v>0</v>
      </c>
      <c r="BK52" s="156">
        <f t="shared" si="62"/>
        <v>0</v>
      </c>
      <c r="BL52" s="156">
        <f t="shared" si="63"/>
        <v>0</v>
      </c>
      <c r="BM52" s="159">
        <f t="shared" si="64"/>
        <v>0</v>
      </c>
      <c r="BN52" s="160">
        <f t="shared" si="65"/>
        <v>0</v>
      </c>
      <c r="BO52" s="156">
        <f t="shared" si="19"/>
        <v>0</v>
      </c>
      <c r="BP52" s="156">
        <f t="shared" si="66"/>
        <v>0</v>
      </c>
      <c r="BQ52" s="156">
        <f t="shared" si="21"/>
        <v>0</v>
      </c>
      <c r="BR52" s="156">
        <f t="shared" si="67"/>
        <v>0</v>
      </c>
      <c r="BS52" s="228">
        <f t="shared" si="42"/>
        <v>0</v>
      </c>
      <c r="BT52" s="156">
        <f t="shared" si="68"/>
        <v>0</v>
      </c>
      <c r="BU52" s="160">
        <f t="shared" si="69"/>
        <v>0</v>
      </c>
      <c r="BV52" s="160">
        <f t="shared" si="70"/>
        <v>0</v>
      </c>
      <c r="BW52" s="153"/>
      <c r="BX52" s="158">
        <f t="shared" si="25"/>
        <v>0</v>
      </c>
      <c r="BY52" s="286">
        <f t="shared" si="71"/>
        <v>0</v>
      </c>
    </row>
    <row r="53" spans="1:77" ht="15.75" customHeight="1" thickBot="1">
      <c r="M53" t="s">
        <v>170</v>
      </c>
      <c r="N53" s="19" t="s">
        <v>8</v>
      </c>
      <c r="O53" s="129"/>
      <c r="P53" s="131">
        <f>P94</f>
        <v>0</v>
      </c>
      <c r="V53" s="58">
        <f t="shared" si="45"/>
        <v>58896</v>
      </c>
      <c r="W53" s="6">
        <v>37</v>
      </c>
      <c r="X53" s="282" t="str">
        <f t="shared" si="27"/>
        <v>-</v>
      </c>
      <c r="Y53" s="161">
        <f t="shared" si="0"/>
        <v>0</v>
      </c>
      <c r="Z53" s="159">
        <f t="shared" si="1"/>
        <v>0</v>
      </c>
      <c r="AA53" s="159">
        <f t="shared" si="2"/>
        <v>0</v>
      </c>
      <c r="AB53" s="159">
        <f t="shared" si="46"/>
        <v>0</v>
      </c>
      <c r="AC53" s="160">
        <f t="shared" si="47"/>
        <v>0</v>
      </c>
      <c r="AD53" s="161">
        <f t="shared" si="4"/>
        <v>0</v>
      </c>
      <c r="AE53" s="159">
        <f t="shared" si="5"/>
        <v>0</v>
      </c>
      <c r="AF53" s="159">
        <f t="shared" si="48"/>
        <v>0</v>
      </c>
      <c r="AG53" s="159">
        <f>IF(AND(SUM($AA$16:AA52)&gt;0,SUM($AG$16:AG52)&lt;$O$62,$W53&gt;=$O$65),$O$64,0)</f>
        <v>0</v>
      </c>
      <c r="AH53" s="156">
        <f>IF(SUM($AA$17:$AA52)&gt;0,($O$62-SUM($AG$17:$AG52))*$F$65,0)</f>
        <v>0</v>
      </c>
      <c r="AI53" s="160">
        <f t="shared" si="49"/>
        <v>0</v>
      </c>
      <c r="AJ53" s="156">
        <f t="shared" si="50"/>
        <v>0</v>
      </c>
      <c r="AK53" s="158">
        <f>(SUM($P$31,$P$51)-SUM($AU$17:AU52))*$O$109</f>
        <v>0</v>
      </c>
      <c r="AL53" s="163"/>
      <c r="AM53" s="157">
        <f t="shared" si="51"/>
        <v>0</v>
      </c>
      <c r="AN53" s="164"/>
      <c r="AO53" s="155">
        <f t="shared" si="9"/>
        <v>0</v>
      </c>
      <c r="AP53" s="156">
        <f t="shared" si="10"/>
        <v>0</v>
      </c>
      <c r="AQ53" s="156">
        <f t="shared" si="11"/>
        <v>0</v>
      </c>
      <c r="AR53" s="159">
        <f t="shared" si="52"/>
        <v>0</v>
      </c>
      <c r="AS53" s="160">
        <f t="shared" si="53"/>
        <v>0</v>
      </c>
      <c r="AT53" s="159">
        <f t="shared" si="54"/>
        <v>0</v>
      </c>
      <c r="AU53" s="159">
        <f t="shared" si="14"/>
        <v>0</v>
      </c>
      <c r="AV53" s="159">
        <f t="shared" si="15"/>
        <v>0</v>
      </c>
      <c r="AW53" s="159">
        <f t="shared" si="55"/>
        <v>0</v>
      </c>
      <c r="AX53" s="159">
        <f t="shared" si="32"/>
        <v>0</v>
      </c>
      <c r="AY53" s="159">
        <f t="shared" si="16"/>
        <v>0</v>
      </c>
      <c r="AZ53" s="159">
        <f>IF(AND(SUM($AQ$16:AQ52)&gt;0,SUM($AZ$16:AZ52)&lt;$P$62,$W53&gt;=$P$65),$P$64,0)</f>
        <v>0</v>
      </c>
      <c r="BA53" s="159">
        <f>IF(SUM($AQ$17:$AQ52)&gt;0,($P$62-SUM($AZ$17:$AZ52))*$F$65,0)</f>
        <v>0</v>
      </c>
      <c r="BB53" s="160">
        <f t="shared" si="56"/>
        <v>0</v>
      </c>
      <c r="BC53" s="156">
        <f t="shared" si="57"/>
        <v>0</v>
      </c>
      <c r="BD53" s="157">
        <f t="shared" si="58"/>
        <v>0</v>
      </c>
      <c r="BE53" s="49"/>
      <c r="BF53" s="47">
        <f t="shared" si="35"/>
        <v>0.28508323933125035</v>
      </c>
      <c r="BH53" s="155">
        <f t="shared" si="59"/>
        <v>0</v>
      </c>
      <c r="BI53" s="155">
        <f t="shared" si="60"/>
        <v>0</v>
      </c>
      <c r="BJ53" s="156">
        <f t="shared" si="61"/>
        <v>0</v>
      </c>
      <c r="BK53" s="156">
        <f t="shared" si="62"/>
        <v>0</v>
      </c>
      <c r="BL53" s="156">
        <f t="shared" si="63"/>
        <v>0</v>
      </c>
      <c r="BM53" s="159">
        <f t="shared" si="64"/>
        <v>0</v>
      </c>
      <c r="BN53" s="160">
        <f t="shared" si="65"/>
        <v>0</v>
      </c>
      <c r="BO53" s="156">
        <f t="shared" si="19"/>
        <v>0</v>
      </c>
      <c r="BP53" s="156">
        <f t="shared" si="66"/>
        <v>0</v>
      </c>
      <c r="BQ53" s="156">
        <f t="shared" si="21"/>
        <v>0</v>
      </c>
      <c r="BR53" s="156">
        <f t="shared" si="67"/>
        <v>0</v>
      </c>
      <c r="BS53" s="228">
        <f t="shared" si="42"/>
        <v>0</v>
      </c>
      <c r="BT53" s="156">
        <f t="shared" si="68"/>
        <v>0</v>
      </c>
      <c r="BU53" s="160">
        <f t="shared" si="69"/>
        <v>0</v>
      </c>
      <c r="BV53" s="160">
        <f t="shared" si="70"/>
        <v>0</v>
      </c>
      <c r="BW53" s="153"/>
      <c r="BX53" s="158">
        <f t="shared" si="25"/>
        <v>0</v>
      </c>
      <c r="BY53" s="286">
        <f t="shared" si="71"/>
        <v>0</v>
      </c>
    </row>
    <row r="54" spans="1:77" ht="15.75" customHeight="1" thickBot="1">
      <c r="A54" s="4" t="s">
        <v>119</v>
      </c>
      <c r="K54" s="124" t="s">
        <v>177</v>
      </c>
      <c r="L54" s="125"/>
      <c r="M54" s="125"/>
      <c r="N54" s="126" t="s">
        <v>8</v>
      </c>
      <c r="O54" s="127"/>
      <c r="P54" s="128">
        <f>SUM(P52:P53)*$F$47</f>
        <v>0</v>
      </c>
      <c r="Q54" t="s">
        <v>167</v>
      </c>
      <c r="V54" s="58">
        <f t="shared" si="45"/>
        <v>59261</v>
      </c>
      <c r="W54" s="6">
        <v>38</v>
      </c>
      <c r="X54" s="282" t="str">
        <f t="shared" si="27"/>
        <v>-</v>
      </c>
      <c r="Y54" s="161">
        <f t="shared" si="0"/>
        <v>0</v>
      </c>
      <c r="Z54" s="159">
        <f t="shared" si="1"/>
        <v>0</v>
      </c>
      <c r="AA54" s="159">
        <f t="shared" si="2"/>
        <v>0</v>
      </c>
      <c r="AB54" s="159">
        <f t="shared" si="46"/>
        <v>0</v>
      </c>
      <c r="AC54" s="160">
        <f t="shared" si="47"/>
        <v>0</v>
      </c>
      <c r="AD54" s="161">
        <f t="shared" si="4"/>
        <v>0</v>
      </c>
      <c r="AE54" s="159">
        <f t="shared" si="5"/>
        <v>0</v>
      </c>
      <c r="AF54" s="159">
        <f t="shared" si="48"/>
        <v>0</v>
      </c>
      <c r="AG54" s="159">
        <f>IF(AND(SUM($AA$16:AA53)&gt;0,SUM($AG$16:AG53)&lt;$O$62,$W54&gt;=$O$65),$O$64,0)</f>
        <v>0</v>
      </c>
      <c r="AH54" s="156">
        <f>IF(SUM($AA$17:$AA53)&gt;0,($O$62-SUM($AG$17:$AG53))*$F$65,0)</f>
        <v>0</v>
      </c>
      <c r="AI54" s="160">
        <f t="shared" si="49"/>
        <v>0</v>
      </c>
      <c r="AJ54" s="156">
        <f t="shared" si="50"/>
        <v>0</v>
      </c>
      <c r="AK54" s="158">
        <f>(SUM($P$31,$P$51)-SUM($AU$17:AU53))*$O$109</f>
        <v>0</v>
      </c>
      <c r="AL54" s="163"/>
      <c r="AM54" s="157">
        <f t="shared" si="51"/>
        <v>0</v>
      </c>
      <c r="AN54" s="164"/>
      <c r="AO54" s="155">
        <f t="shared" si="9"/>
        <v>0</v>
      </c>
      <c r="AP54" s="156">
        <f t="shared" si="10"/>
        <v>0</v>
      </c>
      <c r="AQ54" s="156">
        <f t="shared" si="11"/>
        <v>0</v>
      </c>
      <c r="AR54" s="159">
        <f t="shared" si="52"/>
        <v>0</v>
      </c>
      <c r="AS54" s="160">
        <f t="shared" si="53"/>
        <v>0</v>
      </c>
      <c r="AT54" s="159">
        <f t="shared" si="54"/>
        <v>0</v>
      </c>
      <c r="AU54" s="159">
        <f t="shared" si="14"/>
        <v>0</v>
      </c>
      <c r="AV54" s="159">
        <f t="shared" si="15"/>
        <v>0</v>
      </c>
      <c r="AW54" s="159">
        <f t="shared" si="55"/>
        <v>0</v>
      </c>
      <c r="AX54" s="159">
        <f t="shared" si="32"/>
        <v>0</v>
      </c>
      <c r="AY54" s="159">
        <f t="shared" si="16"/>
        <v>0</v>
      </c>
      <c r="AZ54" s="159">
        <f>IF(AND(SUM($AQ$16:AQ53)&gt;0,SUM($AZ$16:AZ53)&lt;$P$62,$W54&gt;=$P$65),$P$64,0)</f>
        <v>0</v>
      </c>
      <c r="BA54" s="159">
        <f>IF(SUM($AQ$17:$AQ53)&gt;0,($P$62-SUM($AZ$17:$AZ53))*$F$65,0)</f>
        <v>0</v>
      </c>
      <c r="BB54" s="160">
        <f t="shared" si="56"/>
        <v>0</v>
      </c>
      <c r="BC54" s="156">
        <f t="shared" si="57"/>
        <v>0</v>
      </c>
      <c r="BD54" s="157">
        <f t="shared" si="58"/>
        <v>0</v>
      </c>
      <c r="BE54" s="49"/>
      <c r="BF54" s="47">
        <f t="shared" si="35"/>
        <v>0.27557587175567944</v>
      </c>
      <c r="BH54" s="155">
        <f t="shared" si="59"/>
        <v>0</v>
      </c>
      <c r="BI54" s="155">
        <f t="shared" si="60"/>
        <v>0</v>
      </c>
      <c r="BJ54" s="156">
        <f t="shared" si="61"/>
        <v>0</v>
      </c>
      <c r="BK54" s="156">
        <f t="shared" si="62"/>
        <v>0</v>
      </c>
      <c r="BL54" s="156">
        <f t="shared" si="63"/>
        <v>0</v>
      </c>
      <c r="BM54" s="159">
        <f t="shared" si="64"/>
        <v>0</v>
      </c>
      <c r="BN54" s="160">
        <f t="shared" si="65"/>
        <v>0</v>
      </c>
      <c r="BO54" s="156">
        <f t="shared" si="19"/>
        <v>0</v>
      </c>
      <c r="BP54" s="156">
        <f t="shared" si="66"/>
        <v>0</v>
      </c>
      <c r="BQ54" s="156">
        <f t="shared" si="21"/>
        <v>0</v>
      </c>
      <c r="BR54" s="156">
        <f t="shared" si="67"/>
        <v>0</v>
      </c>
      <c r="BS54" s="228">
        <f t="shared" si="42"/>
        <v>0</v>
      </c>
      <c r="BT54" s="156">
        <f t="shared" si="68"/>
        <v>0</v>
      </c>
      <c r="BU54" s="160">
        <f t="shared" si="69"/>
        <v>0</v>
      </c>
      <c r="BV54" s="160">
        <f t="shared" si="70"/>
        <v>0</v>
      </c>
      <c r="BW54" s="153"/>
      <c r="BX54" s="158">
        <f t="shared" si="25"/>
        <v>0</v>
      </c>
      <c r="BY54" s="286">
        <f t="shared" si="71"/>
        <v>0</v>
      </c>
    </row>
    <row r="55" spans="1:77" ht="15.75" customHeight="1">
      <c r="V55" s="58">
        <f t="shared" si="45"/>
        <v>59626</v>
      </c>
      <c r="W55" s="6">
        <v>39</v>
      </c>
      <c r="X55" s="282" t="str">
        <f t="shared" si="27"/>
        <v>-</v>
      </c>
      <c r="Y55" s="161">
        <f t="shared" si="0"/>
        <v>0</v>
      </c>
      <c r="Z55" s="159">
        <f t="shared" si="1"/>
        <v>0</v>
      </c>
      <c r="AA55" s="159">
        <f t="shared" si="2"/>
        <v>0</v>
      </c>
      <c r="AB55" s="159">
        <f t="shared" si="46"/>
        <v>0</v>
      </c>
      <c r="AC55" s="160">
        <f t="shared" si="47"/>
        <v>0</v>
      </c>
      <c r="AD55" s="161">
        <f t="shared" si="4"/>
        <v>0</v>
      </c>
      <c r="AE55" s="159">
        <f t="shared" si="5"/>
        <v>0</v>
      </c>
      <c r="AF55" s="159">
        <f t="shared" si="48"/>
        <v>0</v>
      </c>
      <c r="AG55" s="159">
        <f>IF(AND(SUM($AA$16:AA54)&gt;0,SUM($AG$16:AG54)&lt;$O$62,$W55&gt;=$O$65),$O$64,0)</f>
        <v>0</v>
      </c>
      <c r="AH55" s="156">
        <f>IF(SUM($AA$17:$AA54)&gt;0,($O$62-SUM($AG$17:$AG54))*$F$65,0)</f>
        <v>0</v>
      </c>
      <c r="AI55" s="160">
        <f t="shared" si="49"/>
        <v>0</v>
      </c>
      <c r="AJ55" s="156">
        <f t="shared" si="50"/>
        <v>0</v>
      </c>
      <c r="AK55" s="158">
        <f>(SUM($P$31,$P$51)-SUM($AU$17:AU54))*$O$109</f>
        <v>0</v>
      </c>
      <c r="AL55" s="163"/>
      <c r="AM55" s="157">
        <f t="shared" si="51"/>
        <v>0</v>
      </c>
      <c r="AN55" s="164"/>
      <c r="AO55" s="155">
        <f t="shared" si="9"/>
        <v>0</v>
      </c>
      <c r="AP55" s="156">
        <f t="shared" si="10"/>
        <v>0</v>
      </c>
      <c r="AQ55" s="156">
        <f t="shared" si="11"/>
        <v>0</v>
      </c>
      <c r="AR55" s="159">
        <f t="shared" si="52"/>
        <v>0</v>
      </c>
      <c r="AS55" s="160">
        <f t="shared" si="53"/>
        <v>0</v>
      </c>
      <c r="AT55" s="159">
        <f t="shared" si="54"/>
        <v>0</v>
      </c>
      <c r="AU55" s="159">
        <f t="shared" si="14"/>
        <v>0</v>
      </c>
      <c r="AV55" s="159">
        <f t="shared" si="15"/>
        <v>0</v>
      </c>
      <c r="AW55" s="159">
        <f t="shared" si="55"/>
        <v>0</v>
      </c>
      <c r="AX55" s="159">
        <f t="shared" si="32"/>
        <v>0</v>
      </c>
      <c r="AY55" s="159">
        <f t="shared" si="16"/>
        <v>0</v>
      </c>
      <c r="AZ55" s="159">
        <f>IF(AND(SUM($AQ$16:AQ54)&gt;0,SUM($AZ$16:AZ54)&lt;$P$62,$W55&gt;=$P$65),$P$64,0)</f>
        <v>0</v>
      </c>
      <c r="BA55" s="159">
        <f>IF(SUM($AQ$17:$AQ54)&gt;0,($P$62-SUM($AZ$17:$AZ54))*$F$65,0)</f>
        <v>0</v>
      </c>
      <c r="BB55" s="160">
        <f t="shared" si="56"/>
        <v>0</v>
      </c>
      <c r="BC55" s="156">
        <f t="shared" si="57"/>
        <v>0</v>
      </c>
      <c r="BD55" s="157">
        <f t="shared" si="58"/>
        <v>0</v>
      </c>
      <c r="BE55" s="49"/>
      <c r="BF55" s="47">
        <f t="shared" si="35"/>
        <v>0.26638556960433007</v>
      </c>
      <c r="BH55" s="155">
        <f t="shared" si="59"/>
        <v>0</v>
      </c>
      <c r="BI55" s="155">
        <f t="shared" si="60"/>
        <v>0</v>
      </c>
      <c r="BJ55" s="156">
        <f t="shared" si="61"/>
        <v>0</v>
      </c>
      <c r="BK55" s="156">
        <f t="shared" si="62"/>
        <v>0</v>
      </c>
      <c r="BL55" s="156">
        <f t="shared" si="63"/>
        <v>0</v>
      </c>
      <c r="BM55" s="159">
        <f t="shared" si="64"/>
        <v>0</v>
      </c>
      <c r="BN55" s="160">
        <f t="shared" si="65"/>
        <v>0</v>
      </c>
      <c r="BO55" s="156">
        <f t="shared" si="19"/>
        <v>0</v>
      </c>
      <c r="BP55" s="156">
        <f t="shared" si="66"/>
        <v>0</v>
      </c>
      <c r="BQ55" s="156">
        <f t="shared" si="21"/>
        <v>0</v>
      </c>
      <c r="BR55" s="156">
        <f t="shared" si="67"/>
        <v>0</v>
      </c>
      <c r="BS55" s="228">
        <f t="shared" si="42"/>
        <v>0</v>
      </c>
      <c r="BT55" s="156">
        <f t="shared" si="68"/>
        <v>0</v>
      </c>
      <c r="BU55" s="160">
        <f t="shared" si="69"/>
        <v>0</v>
      </c>
      <c r="BV55" s="160">
        <f t="shared" si="70"/>
        <v>0</v>
      </c>
      <c r="BW55" s="153"/>
      <c r="BX55" s="158">
        <f t="shared" si="25"/>
        <v>0</v>
      </c>
      <c r="BY55" s="286">
        <f t="shared" si="71"/>
        <v>0</v>
      </c>
    </row>
    <row r="56" spans="1:77" ht="15.75" customHeight="1">
      <c r="C56" s="56" t="s">
        <v>77</v>
      </c>
      <c r="D56" t="s">
        <v>8</v>
      </c>
      <c r="F56" s="1">
        <v>0</v>
      </c>
      <c r="V56" s="58">
        <f t="shared" si="45"/>
        <v>59992</v>
      </c>
      <c r="W56" s="6">
        <v>40</v>
      </c>
      <c r="X56" s="282" t="str">
        <f t="shared" si="27"/>
        <v>-</v>
      </c>
      <c r="Y56" s="161">
        <f t="shared" si="0"/>
        <v>0</v>
      </c>
      <c r="Z56" s="159">
        <f t="shared" si="1"/>
        <v>0</v>
      </c>
      <c r="AA56" s="159">
        <f t="shared" si="2"/>
        <v>0</v>
      </c>
      <c r="AB56" s="159">
        <f t="shared" si="46"/>
        <v>0</v>
      </c>
      <c r="AC56" s="160">
        <f t="shared" si="47"/>
        <v>0</v>
      </c>
      <c r="AD56" s="161">
        <f t="shared" si="4"/>
        <v>0</v>
      </c>
      <c r="AE56" s="159">
        <f t="shared" si="5"/>
        <v>0</v>
      </c>
      <c r="AF56" s="159">
        <f t="shared" si="48"/>
        <v>0</v>
      </c>
      <c r="AG56" s="159">
        <f>IF(AND(SUM($AA$16:AA55)&gt;0,SUM($AG$16:AG55)&lt;$O$62,$W56&gt;=$O$65),$O$64,0)</f>
        <v>0</v>
      </c>
      <c r="AH56" s="156">
        <f>IF(SUM($AA$17:$AA55)&gt;0,($O$62-SUM($AG$17:$AG55))*$F$65,0)</f>
        <v>0</v>
      </c>
      <c r="AI56" s="160">
        <f t="shared" si="49"/>
        <v>0</v>
      </c>
      <c r="AJ56" s="156">
        <f t="shared" si="50"/>
        <v>0</v>
      </c>
      <c r="AK56" s="158">
        <f>(SUM($P$31,$P$51)-SUM($AU$17:AU55))*$O$109</f>
        <v>0</v>
      </c>
      <c r="AL56" s="163"/>
      <c r="AM56" s="157">
        <f t="shared" si="51"/>
        <v>0</v>
      </c>
      <c r="AN56" s="164"/>
      <c r="AO56" s="155">
        <f t="shared" si="9"/>
        <v>0</v>
      </c>
      <c r="AP56" s="156">
        <f t="shared" si="10"/>
        <v>0</v>
      </c>
      <c r="AQ56" s="156">
        <f t="shared" si="11"/>
        <v>0</v>
      </c>
      <c r="AR56" s="159">
        <f t="shared" si="52"/>
        <v>0</v>
      </c>
      <c r="AS56" s="160">
        <f t="shared" si="53"/>
        <v>0</v>
      </c>
      <c r="AT56" s="159">
        <f t="shared" si="54"/>
        <v>0</v>
      </c>
      <c r="AU56" s="159">
        <f t="shared" si="14"/>
        <v>0</v>
      </c>
      <c r="AV56" s="159">
        <f t="shared" si="15"/>
        <v>0</v>
      </c>
      <c r="AW56" s="159">
        <f t="shared" si="55"/>
        <v>0</v>
      </c>
      <c r="AX56" s="159">
        <f t="shared" si="32"/>
        <v>0</v>
      </c>
      <c r="AY56" s="159">
        <f t="shared" si="16"/>
        <v>0</v>
      </c>
      <c r="AZ56" s="159">
        <f>IF(AND(SUM($AQ$16:AQ55)&gt;0,SUM($AZ$16:AZ55)&lt;$P$62,$W56&gt;=$P$65),$P$64,0)</f>
        <v>0</v>
      </c>
      <c r="BA56" s="159">
        <f>IF(SUM($AQ$17:$AQ55)&gt;0,($P$62-SUM($AZ$17:$AZ55))*$F$65,0)</f>
        <v>0</v>
      </c>
      <c r="BB56" s="160">
        <f t="shared" si="56"/>
        <v>0</v>
      </c>
      <c r="BC56" s="156">
        <f t="shared" si="57"/>
        <v>0</v>
      </c>
      <c r="BD56" s="157">
        <f t="shared" si="58"/>
        <v>0</v>
      </c>
      <c r="BE56" s="49"/>
      <c r="BF56" s="47">
        <f t="shared" si="35"/>
        <v>0.25750175892153704</v>
      </c>
      <c r="BH56" s="155">
        <f t="shared" si="59"/>
        <v>0</v>
      </c>
      <c r="BI56" s="155">
        <f t="shared" si="60"/>
        <v>0</v>
      </c>
      <c r="BJ56" s="156">
        <f t="shared" si="61"/>
        <v>0</v>
      </c>
      <c r="BK56" s="156">
        <f t="shared" si="62"/>
        <v>0</v>
      </c>
      <c r="BL56" s="156">
        <f t="shared" si="63"/>
        <v>0</v>
      </c>
      <c r="BM56" s="159">
        <f t="shared" si="64"/>
        <v>0</v>
      </c>
      <c r="BN56" s="160">
        <f t="shared" si="65"/>
        <v>0</v>
      </c>
      <c r="BO56" s="156">
        <f t="shared" si="19"/>
        <v>0</v>
      </c>
      <c r="BP56" s="156">
        <f t="shared" si="66"/>
        <v>0</v>
      </c>
      <c r="BQ56" s="156">
        <f t="shared" si="21"/>
        <v>0</v>
      </c>
      <c r="BR56" s="156">
        <f t="shared" si="67"/>
        <v>0</v>
      </c>
      <c r="BS56" s="228">
        <f t="shared" si="42"/>
        <v>0</v>
      </c>
      <c r="BT56" s="156">
        <f t="shared" si="68"/>
        <v>0</v>
      </c>
      <c r="BU56" s="160">
        <f t="shared" si="69"/>
        <v>0</v>
      </c>
      <c r="BV56" s="160">
        <f t="shared" si="70"/>
        <v>0</v>
      </c>
      <c r="BW56" s="153"/>
      <c r="BX56" s="158">
        <f t="shared" si="25"/>
        <v>0</v>
      </c>
      <c r="BY56" s="286">
        <f t="shared" si="71"/>
        <v>0</v>
      </c>
    </row>
    <row r="57" spans="1:77" ht="15.75" customHeight="1" thickBot="1">
      <c r="Y57" s="165"/>
      <c r="Z57" s="165"/>
      <c r="AA57" s="153"/>
      <c r="AB57" s="153"/>
      <c r="AC57" s="153"/>
      <c r="AD57" s="153"/>
      <c r="AE57" s="153"/>
      <c r="AF57" s="153"/>
      <c r="AG57" s="159"/>
      <c r="AH57" s="156"/>
      <c r="AI57" s="153"/>
      <c r="AJ57" s="153"/>
      <c r="AK57" s="166"/>
      <c r="AL57" s="166"/>
      <c r="AM57" s="166"/>
      <c r="AN57" s="166"/>
      <c r="AO57" s="166"/>
      <c r="AP57" s="153"/>
      <c r="AQ57" s="153"/>
      <c r="AR57" s="153"/>
      <c r="AS57" s="153"/>
      <c r="AT57" s="153"/>
      <c r="AU57" s="153"/>
      <c r="AV57" s="153"/>
      <c r="AW57" s="153"/>
      <c r="AX57" s="153"/>
      <c r="AY57" s="153"/>
      <c r="AZ57" s="153"/>
      <c r="BA57" s="153"/>
      <c r="BB57" s="153"/>
      <c r="BC57" s="153"/>
      <c r="BD57" s="153"/>
      <c r="BH57" s="153"/>
      <c r="BI57" s="153"/>
      <c r="BJ57" s="153"/>
      <c r="BK57" s="153"/>
      <c r="BL57" s="153"/>
      <c r="BM57" s="153"/>
      <c r="BN57" s="153"/>
      <c r="BO57" s="153"/>
      <c r="BP57" s="153"/>
      <c r="BQ57" s="153"/>
      <c r="BR57" s="153"/>
      <c r="BS57" s="153"/>
      <c r="BT57" s="153"/>
      <c r="BU57" s="153"/>
      <c r="BV57" s="153"/>
      <c r="BW57" s="153"/>
      <c r="BX57" s="153"/>
    </row>
    <row r="58" spans="1:77" ht="15.75" customHeight="1" thickTop="1">
      <c r="A58" s="4" t="s">
        <v>120</v>
      </c>
      <c r="E58" t="s">
        <v>0</v>
      </c>
      <c r="F58" t="s">
        <v>1</v>
      </c>
      <c r="J58" s="4" t="s">
        <v>120</v>
      </c>
      <c r="X58" s="145" t="s">
        <v>97</v>
      </c>
      <c r="Y58" s="240">
        <f>SUM(Y16:Y56)</f>
        <v>1140</v>
      </c>
      <c r="Z58" s="240">
        <f t="shared" ref="Z58:AK58" si="72">SUM(Z16:Z56)</f>
        <v>384.75</v>
      </c>
      <c r="AA58" s="240">
        <f t="shared" si="72"/>
        <v>1282.5</v>
      </c>
      <c r="AB58" s="240">
        <f t="shared" si="72"/>
        <v>0</v>
      </c>
      <c r="AC58" s="240">
        <f t="shared" si="72"/>
        <v>1524.75</v>
      </c>
      <c r="AD58" s="240">
        <f t="shared" si="72"/>
        <v>2850</v>
      </c>
      <c r="AE58" s="240">
        <f t="shared" si="72"/>
        <v>0</v>
      </c>
      <c r="AF58" s="240">
        <f t="shared" si="72"/>
        <v>30</v>
      </c>
      <c r="AG58" s="240">
        <f t="shared" si="72"/>
        <v>1282.5</v>
      </c>
      <c r="AH58" s="240">
        <f t="shared" si="72"/>
        <v>259.70625000000001</v>
      </c>
      <c r="AI58" s="240">
        <f t="shared" si="72"/>
        <v>2880</v>
      </c>
      <c r="AJ58" s="241">
        <f t="shared" si="72"/>
        <v>-1355.25</v>
      </c>
      <c r="AK58" s="241">
        <f t="shared" si="72"/>
        <v>0</v>
      </c>
      <c r="AL58" s="240">
        <f>SUM(AJ58,AL16)</f>
        <v>-1355.25</v>
      </c>
      <c r="AM58" s="241">
        <f>SUM(AM16:AM56)</f>
        <v>-1225.0767138497936</v>
      </c>
      <c r="AN58" s="166"/>
      <c r="AO58" s="240">
        <f t="shared" ref="AO58:BD58" si="73">SUM(AO16:AO56)</f>
        <v>960</v>
      </c>
      <c r="AP58" s="240">
        <f t="shared" si="73"/>
        <v>324</v>
      </c>
      <c r="AQ58" s="240">
        <f t="shared" si="73"/>
        <v>1080</v>
      </c>
      <c r="AR58" s="240">
        <f t="shared" si="73"/>
        <v>0</v>
      </c>
      <c r="AS58" s="240">
        <f t="shared" si="73"/>
        <v>1284</v>
      </c>
      <c r="AT58" s="240">
        <f t="shared" si="73"/>
        <v>2400</v>
      </c>
      <c r="AU58" s="240">
        <f t="shared" si="73"/>
        <v>0</v>
      </c>
      <c r="AV58" s="240">
        <f t="shared" si="73"/>
        <v>0</v>
      </c>
      <c r="AW58" s="240">
        <f t="shared" si="73"/>
        <v>0</v>
      </c>
      <c r="AX58" s="240">
        <f t="shared" si="73"/>
        <v>43</v>
      </c>
      <c r="AY58" s="240">
        <f t="shared" si="73"/>
        <v>0</v>
      </c>
      <c r="AZ58" s="240">
        <f t="shared" si="73"/>
        <v>1080</v>
      </c>
      <c r="BA58" s="240">
        <f t="shared" si="73"/>
        <v>218.7</v>
      </c>
      <c r="BB58" s="240">
        <f t="shared" si="73"/>
        <v>2443</v>
      </c>
      <c r="BC58" s="241">
        <f t="shared" si="73"/>
        <v>-1159</v>
      </c>
      <c r="BD58" s="241">
        <f t="shared" si="73"/>
        <v>-1049.0204182243356</v>
      </c>
      <c r="BH58" s="233">
        <f t="shared" ref="BH58:BV58" si="74">SUM(BH16:BH56)</f>
        <v>2400</v>
      </c>
      <c r="BI58" s="233">
        <f t="shared" si="74"/>
        <v>0</v>
      </c>
      <c r="BJ58" s="233">
        <f t="shared" si="74"/>
        <v>0</v>
      </c>
      <c r="BK58" s="233">
        <f t="shared" si="74"/>
        <v>0</v>
      </c>
      <c r="BL58" s="233">
        <f t="shared" si="74"/>
        <v>0</v>
      </c>
      <c r="BM58" s="233">
        <f t="shared" si="74"/>
        <v>0</v>
      </c>
      <c r="BN58" s="233">
        <f t="shared" si="74"/>
        <v>2400</v>
      </c>
      <c r="BO58" s="233">
        <f t="shared" si="74"/>
        <v>2400</v>
      </c>
      <c r="BP58" s="233">
        <f t="shared" si="74"/>
        <v>0</v>
      </c>
      <c r="BQ58" s="233">
        <f t="shared" si="74"/>
        <v>0</v>
      </c>
      <c r="BR58" s="233">
        <f t="shared" si="74"/>
        <v>0</v>
      </c>
      <c r="BS58" s="233">
        <f t="shared" si="74"/>
        <v>0</v>
      </c>
      <c r="BT58" s="233">
        <f t="shared" si="74"/>
        <v>0</v>
      </c>
      <c r="BU58" s="233">
        <f t="shared" si="74"/>
        <v>2400</v>
      </c>
      <c r="BV58" s="233">
        <f t="shared" si="74"/>
        <v>0</v>
      </c>
      <c r="BW58" s="166"/>
      <c r="BX58" s="168">
        <f>SUM(BX16:BX56)</f>
        <v>0</v>
      </c>
    </row>
    <row r="59" spans="1:77" ht="15.75" customHeight="1">
      <c r="B59" t="s">
        <v>132</v>
      </c>
      <c r="C59" t="s">
        <v>184</v>
      </c>
      <c r="D59" t="s">
        <v>8</v>
      </c>
      <c r="E59" s="21">
        <f>O62</f>
        <v>1282.5</v>
      </c>
      <c r="F59" s="21">
        <f>P62</f>
        <v>1080</v>
      </c>
      <c r="J59" s="4" t="s">
        <v>132</v>
      </c>
      <c r="O59" t="s">
        <v>0</v>
      </c>
      <c r="P59" t="s">
        <v>1</v>
      </c>
      <c r="AA59"/>
      <c r="AB59"/>
      <c r="AC59"/>
      <c r="AD59"/>
      <c r="AE59"/>
      <c r="AF59"/>
      <c r="AG59"/>
      <c r="AH59"/>
      <c r="AI59"/>
      <c r="AJ59"/>
      <c r="AK59"/>
      <c r="AL59" s="31" t="s">
        <v>130</v>
      </c>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row>
    <row r="60" spans="1:77" ht="15.75" customHeight="1">
      <c r="C60" t="s">
        <v>105</v>
      </c>
      <c r="D60" t="s">
        <v>6</v>
      </c>
      <c r="E60" s="141">
        <v>0.4</v>
      </c>
      <c r="F60" s="141">
        <v>0.4</v>
      </c>
      <c r="K60" t="s">
        <v>73</v>
      </c>
      <c r="N60" s="19" t="s">
        <v>8</v>
      </c>
      <c r="O60" s="52">
        <f>O29</f>
        <v>2850</v>
      </c>
      <c r="P60" s="52">
        <f>P29</f>
        <v>2400</v>
      </c>
      <c r="AK60" s="281"/>
      <c r="AL60" s="31" t="s">
        <v>131</v>
      </c>
      <c r="AM60" s="281"/>
      <c r="AN60" s="281"/>
      <c r="AO60" s="281"/>
      <c r="BF60" s="281"/>
      <c r="BY60"/>
    </row>
    <row r="61" spans="1:77" ht="10.5" customHeight="1">
      <c r="C61" t="s">
        <v>106</v>
      </c>
      <c r="D61" t="s">
        <v>6</v>
      </c>
      <c r="E61" s="3">
        <v>0.3</v>
      </c>
      <c r="F61" s="3">
        <v>0.3</v>
      </c>
      <c r="K61" t="s">
        <v>4</v>
      </c>
      <c r="N61" s="19" t="s">
        <v>8</v>
      </c>
      <c r="O61" s="52">
        <f>O60*$F$60</f>
        <v>1140</v>
      </c>
      <c r="P61" s="52">
        <f>P60*$F$60</f>
        <v>960</v>
      </c>
      <c r="V61" s="19"/>
      <c r="AK61" s="281"/>
      <c r="AL61" s="281"/>
      <c r="AM61" s="281"/>
      <c r="AN61" s="281"/>
      <c r="AO61" s="281"/>
      <c r="BF61" s="281"/>
    </row>
    <row r="62" spans="1:77" ht="15.75" customHeight="1">
      <c r="C62" s="275" t="s">
        <v>107</v>
      </c>
      <c r="D62" t="s">
        <v>6</v>
      </c>
      <c r="E62" s="3">
        <v>0.75</v>
      </c>
      <c r="F62" s="3">
        <v>0.75</v>
      </c>
      <c r="J62" s="4"/>
      <c r="K62" t="s">
        <v>24</v>
      </c>
      <c r="N62" s="19" t="s">
        <v>8</v>
      </c>
      <c r="O62" s="52">
        <f>(O60-O61)*$F$62</f>
        <v>1282.5</v>
      </c>
      <c r="P62" s="52">
        <f>(P30-P61)*$F$62</f>
        <v>1080</v>
      </c>
      <c r="V62" s="19"/>
    </row>
    <row r="63" spans="1:77" ht="15.75" customHeight="1">
      <c r="C63" t="s">
        <v>256</v>
      </c>
      <c r="D63" t="s">
        <v>7</v>
      </c>
      <c r="E63" s="1">
        <v>3</v>
      </c>
      <c r="F63" s="1">
        <v>3</v>
      </c>
      <c r="K63" t="s">
        <v>23</v>
      </c>
      <c r="N63" s="19" t="s">
        <v>8</v>
      </c>
      <c r="O63" s="52">
        <f>O62*$F$61</f>
        <v>384.75</v>
      </c>
      <c r="P63" s="52">
        <f>P62*$F$61</f>
        <v>324</v>
      </c>
      <c r="V63" s="19"/>
    </row>
    <row r="64" spans="1:77" ht="15.75" customHeight="1">
      <c r="C64" s="56" t="s">
        <v>76</v>
      </c>
      <c r="D64" t="s">
        <v>7</v>
      </c>
      <c r="E64" s="1">
        <v>20</v>
      </c>
      <c r="F64" s="1">
        <v>20</v>
      </c>
      <c r="K64" t="s">
        <v>44</v>
      </c>
      <c r="N64" s="19" t="s">
        <v>8</v>
      </c>
      <c r="O64" s="52">
        <f>O62/$F$64</f>
        <v>64.125</v>
      </c>
      <c r="P64" s="52">
        <f>P62/$F$64</f>
        <v>54</v>
      </c>
      <c r="V64" s="19"/>
    </row>
    <row r="65" spans="1:23" ht="15.75" customHeight="1">
      <c r="C65" s="56" t="s">
        <v>109</v>
      </c>
      <c r="D65" t="s">
        <v>6</v>
      </c>
      <c r="E65" s="54">
        <v>1.4999999999999999E-2</v>
      </c>
      <c r="F65" s="54">
        <v>1.4999999999999999E-2</v>
      </c>
      <c r="K65" t="s">
        <v>259</v>
      </c>
      <c r="N65" s="19" t="s">
        <v>257</v>
      </c>
      <c r="O65" s="52">
        <f>$F$16+E63+1</f>
        <v>7</v>
      </c>
      <c r="P65" s="52">
        <f>$F$16+F63+1</f>
        <v>7</v>
      </c>
    </row>
    <row r="66" spans="1:23" ht="15.75" customHeight="1">
      <c r="B66" t="s">
        <v>133</v>
      </c>
      <c r="C66" s="19"/>
      <c r="J66" s="4" t="s">
        <v>133</v>
      </c>
      <c r="P66" t="s">
        <v>1</v>
      </c>
    </row>
    <row r="67" spans="1:23" ht="15.75" customHeight="1">
      <c r="E67" t="s">
        <v>0</v>
      </c>
      <c r="F67" t="s">
        <v>1</v>
      </c>
      <c r="K67" t="s">
        <v>18</v>
      </c>
      <c r="O67" s="19"/>
      <c r="P67" s="110">
        <f>SUM(F69:F70)</f>
        <v>0</v>
      </c>
    </row>
    <row r="68" spans="1:23" ht="15.75" customHeight="1">
      <c r="C68" t="s">
        <v>184</v>
      </c>
      <c r="D68" t="s">
        <v>8</v>
      </c>
      <c r="F68" s="21">
        <f>P31</f>
        <v>0</v>
      </c>
    </row>
    <row r="69" spans="1:23" ht="15.75" customHeight="1">
      <c r="C69" t="s">
        <v>10</v>
      </c>
      <c r="D69" t="s">
        <v>6</v>
      </c>
      <c r="F69" s="17"/>
      <c r="H69" s="72" t="s">
        <v>202</v>
      </c>
    </row>
    <row r="70" spans="1:23" ht="15.75" customHeight="1">
      <c r="C70" t="s">
        <v>11</v>
      </c>
      <c r="D70" t="s">
        <v>6</v>
      </c>
      <c r="F70" s="18"/>
      <c r="H70" s="150" t="s">
        <v>202</v>
      </c>
    </row>
    <row r="71" spans="1:23" ht="15.75" customHeight="1">
      <c r="C71" s="56" t="s">
        <v>110</v>
      </c>
      <c r="D71" t="s">
        <v>6</v>
      </c>
    </row>
    <row r="72" spans="1:23" ht="15.75" customHeight="1">
      <c r="A72" s="4" t="s">
        <v>112</v>
      </c>
      <c r="J72" s="4" t="s">
        <v>112</v>
      </c>
      <c r="O72" s="19"/>
      <c r="P72" s="19"/>
      <c r="R72" s="4" t="s">
        <v>147</v>
      </c>
      <c r="S72" s="4"/>
      <c r="T72" s="4"/>
    </row>
    <row r="73" spans="1:23" ht="15.75" customHeight="1">
      <c r="C73" t="s">
        <v>127</v>
      </c>
      <c r="O73" s="19"/>
      <c r="P73" s="5" t="s">
        <v>127</v>
      </c>
      <c r="U73" s="4" t="s">
        <v>139</v>
      </c>
    </row>
    <row r="74" spans="1:23" ht="15.75" customHeight="1">
      <c r="C74" s="2" t="s">
        <v>185</v>
      </c>
      <c r="D74" t="s">
        <v>8</v>
      </c>
      <c r="F74" s="269">
        <v>0</v>
      </c>
      <c r="H74" t="s">
        <v>187</v>
      </c>
      <c r="N74" t="s">
        <v>128</v>
      </c>
      <c r="O74" s="2"/>
      <c r="P74" s="20">
        <f>F74</f>
        <v>0</v>
      </c>
      <c r="S74" t="s">
        <v>148</v>
      </c>
      <c r="T74" s="19" t="s">
        <v>8</v>
      </c>
      <c r="U74" s="20">
        <f>F90</f>
        <v>0</v>
      </c>
    </row>
    <row r="75" spans="1:23" ht="15.75" customHeight="1">
      <c r="C75" s="2" t="s">
        <v>186</v>
      </c>
      <c r="D75" t="s">
        <v>6</v>
      </c>
      <c r="F75" s="112">
        <v>0.33579999999999999</v>
      </c>
      <c r="H75" t="s">
        <v>134</v>
      </c>
      <c r="N75" t="s">
        <v>125</v>
      </c>
      <c r="O75" s="2"/>
      <c r="P75" s="115">
        <f>F75</f>
        <v>0.33579999999999999</v>
      </c>
      <c r="S75" t="s">
        <v>125</v>
      </c>
      <c r="T75" t="s">
        <v>6</v>
      </c>
      <c r="U75" s="115">
        <f>F91</f>
        <v>0</v>
      </c>
    </row>
    <row r="76" spans="1:23" ht="15.75" customHeight="1">
      <c r="C76" t="s">
        <v>102</v>
      </c>
      <c r="N76" t="s">
        <v>126</v>
      </c>
      <c r="O76" s="2" t="s">
        <v>8</v>
      </c>
      <c r="P76" s="116">
        <f>P74*P75</f>
        <v>0</v>
      </c>
      <c r="S76" t="s">
        <v>126</v>
      </c>
      <c r="T76" s="19" t="s">
        <v>8</v>
      </c>
      <c r="U76" s="116">
        <f>U74*U75</f>
        <v>0</v>
      </c>
      <c r="W76" s="113"/>
    </row>
    <row r="77" spans="1:23" ht="15.75" customHeight="1">
      <c r="C77" s="2" t="s">
        <v>126</v>
      </c>
      <c r="D77" t="s">
        <v>8</v>
      </c>
      <c r="F77" s="111">
        <v>0</v>
      </c>
      <c r="H77" t="s">
        <v>143</v>
      </c>
      <c r="N77"/>
      <c r="O77" s="2"/>
      <c r="P77" s="104" t="s">
        <v>102</v>
      </c>
      <c r="T77" s="19"/>
      <c r="U77" s="4" t="s">
        <v>140</v>
      </c>
    </row>
    <row r="78" spans="1:23" ht="15.75" customHeight="1">
      <c r="N78" t="s">
        <v>126</v>
      </c>
      <c r="O78" s="2" t="s">
        <v>8</v>
      </c>
      <c r="P78" s="117">
        <f>F77</f>
        <v>0</v>
      </c>
      <c r="S78" t="s">
        <v>148</v>
      </c>
      <c r="T78" s="19" t="s">
        <v>8</v>
      </c>
      <c r="U78" s="20">
        <f>F93</f>
        <v>0</v>
      </c>
    </row>
    <row r="79" spans="1:23" ht="15.75" customHeight="1">
      <c r="C79" t="s">
        <v>135</v>
      </c>
      <c r="O79" s="2"/>
      <c r="P79" s="104" t="s">
        <v>135</v>
      </c>
      <c r="S79" t="s">
        <v>125</v>
      </c>
      <c r="T79" t="s">
        <v>6</v>
      </c>
      <c r="U79" s="115">
        <f>F94</f>
        <v>0</v>
      </c>
    </row>
    <row r="80" spans="1:23" ht="15.75" customHeight="1">
      <c r="C80" s="2" t="s">
        <v>148</v>
      </c>
      <c r="D80" t="s">
        <v>8</v>
      </c>
      <c r="F80" s="111">
        <v>0</v>
      </c>
      <c r="H80" t="s">
        <v>197</v>
      </c>
      <c r="N80" t="s">
        <v>142</v>
      </c>
      <c r="O80" s="2"/>
      <c r="P80" s="20">
        <f>F80</f>
        <v>0</v>
      </c>
      <c r="S80" t="s">
        <v>126</v>
      </c>
      <c r="T80" s="19" t="s">
        <v>8</v>
      </c>
      <c r="U80" s="116">
        <f>U78*U79</f>
        <v>0</v>
      </c>
    </row>
    <row r="81" spans="3:21" ht="15.75" customHeight="1">
      <c r="C81" s="2" t="s">
        <v>125</v>
      </c>
      <c r="D81" t="s">
        <v>6</v>
      </c>
      <c r="F81" s="135"/>
      <c r="H81" s="72" t="s">
        <v>138</v>
      </c>
      <c r="N81" t="s">
        <v>125</v>
      </c>
      <c r="O81" s="2"/>
      <c r="P81" s="115">
        <f>F81</f>
        <v>0</v>
      </c>
      <c r="T81" s="19"/>
      <c r="U81" s="4" t="s">
        <v>141</v>
      </c>
    </row>
    <row r="82" spans="3:21" ht="15.75" customHeight="1">
      <c r="C82" t="s">
        <v>136</v>
      </c>
      <c r="N82" t="s">
        <v>126</v>
      </c>
      <c r="O82" s="2" t="s">
        <v>8</v>
      </c>
      <c r="P82" s="116">
        <f>P80*P81</f>
        <v>0</v>
      </c>
      <c r="S82" t="s">
        <v>148</v>
      </c>
      <c r="T82" s="19" t="s">
        <v>8</v>
      </c>
      <c r="U82" s="20">
        <f>F96</f>
        <v>0</v>
      </c>
    </row>
    <row r="83" spans="3:21" ht="15.75" customHeight="1">
      <c r="C83" s="2" t="s">
        <v>148</v>
      </c>
      <c r="D83" t="s">
        <v>8</v>
      </c>
      <c r="F83" s="111">
        <v>0</v>
      </c>
      <c r="H83" t="s">
        <v>197</v>
      </c>
      <c r="O83" s="2"/>
      <c r="P83" s="104" t="s">
        <v>137</v>
      </c>
      <c r="S83" t="s">
        <v>125</v>
      </c>
      <c r="T83" t="s">
        <v>6</v>
      </c>
      <c r="U83" s="115">
        <f>F97</f>
        <v>0</v>
      </c>
    </row>
    <row r="84" spans="3:21">
      <c r="C84" s="2" t="s">
        <v>125</v>
      </c>
      <c r="D84" t="s">
        <v>6</v>
      </c>
      <c r="F84" s="135"/>
      <c r="H84" s="150" t="s">
        <v>138</v>
      </c>
      <c r="N84" t="s">
        <v>142</v>
      </c>
      <c r="O84" s="2"/>
      <c r="P84" s="20">
        <f>F83</f>
        <v>0</v>
      </c>
      <c r="S84" t="s">
        <v>126</v>
      </c>
      <c r="T84" s="19" t="s">
        <v>8</v>
      </c>
      <c r="U84" s="116">
        <f>U82*U83</f>
        <v>0</v>
      </c>
    </row>
    <row r="85" spans="3:21">
      <c r="C85" t="s">
        <v>137</v>
      </c>
      <c r="N85" t="s">
        <v>125</v>
      </c>
      <c r="O85" s="2"/>
      <c r="P85" s="115">
        <f>F87</f>
        <v>0</v>
      </c>
      <c r="T85" s="19"/>
    </row>
    <row r="86" spans="3:21">
      <c r="C86" s="2" t="s">
        <v>148</v>
      </c>
      <c r="D86" t="s">
        <v>8</v>
      </c>
      <c r="F86" s="111">
        <v>0</v>
      </c>
      <c r="H86" t="s">
        <v>198</v>
      </c>
      <c r="N86" t="s">
        <v>126</v>
      </c>
      <c r="O86" s="2" t="s">
        <v>8</v>
      </c>
      <c r="P86" s="116">
        <f>P84*P85</f>
        <v>0</v>
      </c>
      <c r="S86" t="s">
        <v>149</v>
      </c>
      <c r="T86" s="19" t="s">
        <v>8</v>
      </c>
      <c r="U86" s="118">
        <f>IF($F$13="都道府県",P82,0)</f>
        <v>0</v>
      </c>
    </row>
    <row r="87" spans="3:21">
      <c r="C87" s="2" t="s">
        <v>125</v>
      </c>
      <c r="D87" t="s">
        <v>6</v>
      </c>
      <c r="F87" s="135"/>
      <c r="H87" s="150" t="s">
        <v>138</v>
      </c>
      <c r="N87"/>
      <c r="O87" s="2"/>
      <c r="P87" s="148" t="s">
        <v>144</v>
      </c>
      <c r="S87" t="s">
        <v>157</v>
      </c>
      <c r="T87" s="19" t="s">
        <v>8</v>
      </c>
      <c r="U87" s="69">
        <f>IF($F$13="市町村",P90,0)</f>
        <v>0</v>
      </c>
    </row>
    <row r="88" spans="3:21">
      <c r="C88" t="s">
        <v>111</v>
      </c>
      <c r="N88" t="s">
        <v>142</v>
      </c>
      <c r="O88" s="2"/>
      <c r="P88" s="20">
        <f>F83</f>
        <v>0</v>
      </c>
    </row>
    <row r="89" spans="3:21">
      <c r="C89" t="s">
        <v>139</v>
      </c>
      <c r="N89" t="s">
        <v>125</v>
      </c>
      <c r="O89" s="2"/>
      <c r="P89" s="115">
        <f>F84</f>
        <v>0</v>
      </c>
    </row>
    <row r="90" spans="3:21">
      <c r="C90" s="2" t="s">
        <v>148</v>
      </c>
      <c r="D90" t="s">
        <v>8</v>
      </c>
      <c r="F90" s="269">
        <v>0</v>
      </c>
      <c r="H90" t="s">
        <v>187</v>
      </c>
      <c r="N90" t="s">
        <v>126</v>
      </c>
      <c r="O90" s="2" t="s">
        <v>8</v>
      </c>
      <c r="P90" s="116">
        <f>P88*P89</f>
        <v>0</v>
      </c>
    </row>
    <row r="91" spans="3:21">
      <c r="C91" s="2" t="s">
        <v>125</v>
      </c>
      <c r="D91" t="s">
        <v>6</v>
      </c>
      <c r="F91" s="1">
        <v>0</v>
      </c>
      <c r="H91" t="s">
        <v>145</v>
      </c>
      <c r="K91" s="4" t="s">
        <v>104</v>
      </c>
      <c r="N91"/>
      <c r="O91" s="2"/>
      <c r="R91" s="4" t="s">
        <v>158</v>
      </c>
      <c r="S91" s="4"/>
    </row>
    <row r="92" spans="3:21">
      <c r="C92" t="s">
        <v>188</v>
      </c>
      <c r="M92" t="s">
        <v>243</v>
      </c>
      <c r="N92" t="s">
        <v>126</v>
      </c>
      <c r="O92" s="2" t="s">
        <v>8</v>
      </c>
      <c r="P92" s="52">
        <f>P78</f>
        <v>0</v>
      </c>
      <c r="S92" t="s">
        <v>159</v>
      </c>
      <c r="T92" s="19" t="s">
        <v>8</v>
      </c>
      <c r="U92" s="69">
        <f>SUM(F99,U76,U80,U84,U86:U87)</f>
        <v>0</v>
      </c>
    </row>
    <row r="93" spans="3:21">
      <c r="C93" s="2" t="s">
        <v>200</v>
      </c>
      <c r="D93" t="s">
        <v>8</v>
      </c>
      <c r="F93" s="269">
        <v>0</v>
      </c>
      <c r="H93" t="s">
        <v>187</v>
      </c>
      <c r="M93" t="s">
        <v>159</v>
      </c>
      <c r="N93" t="s">
        <v>126</v>
      </c>
      <c r="O93" s="2" t="s">
        <v>8</v>
      </c>
      <c r="P93" s="119">
        <f>SUM(P76,P78,P82,P86,P90)</f>
        <v>0</v>
      </c>
      <c r="S93" t="s">
        <v>160</v>
      </c>
      <c r="T93" s="19" t="s">
        <v>8</v>
      </c>
      <c r="U93" s="69">
        <f>SUM(F100,U76,U80,U84)</f>
        <v>0</v>
      </c>
    </row>
    <row r="94" spans="3:21">
      <c r="C94" s="2" t="s">
        <v>125</v>
      </c>
      <c r="D94" t="s">
        <v>6</v>
      </c>
      <c r="F94" s="1">
        <v>0</v>
      </c>
      <c r="H94" t="s">
        <v>145</v>
      </c>
      <c r="M94" t="s">
        <v>160</v>
      </c>
      <c r="N94" t="s">
        <v>126</v>
      </c>
      <c r="O94" s="2" t="s">
        <v>8</v>
      </c>
      <c r="P94" s="120">
        <f>SUM(P76,P78,P90)</f>
        <v>0</v>
      </c>
    </row>
    <row r="95" spans="3:21">
      <c r="C95" s="56" t="s">
        <v>189</v>
      </c>
    </row>
    <row r="96" spans="3:21">
      <c r="C96" s="2" t="s">
        <v>200</v>
      </c>
      <c r="D96" t="s">
        <v>8</v>
      </c>
      <c r="F96" s="269">
        <v>0</v>
      </c>
      <c r="H96" t="s">
        <v>187</v>
      </c>
    </row>
    <row r="97" spans="1:16">
      <c r="C97" s="2" t="s">
        <v>125</v>
      </c>
      <c r="D97" t="s">
        <v>6</v>
      </c>
      <c r="F97" s="1">
        <v>0</v>
      </c>
      <c r="H97" t="s">
        <v>146</v>
      </c>
    </row>
    <row r="98" spans="1:16"/>
    <row r="99" spans="1:16">
      <c r="C99" t="s">
        <v>174</v>
      </c>
      <c r="D99" t="s">
        <v>8</v>
      </c>
      <c r="F99" s="111"/>
    </row>
    <row r="100" spans="1:16">
      <c r="C100" t="s">
        <v>175</v>
      </c>
      <c r="D100" t="s">
        <v>8</v>
      </c>
      <c r="F100" s="111"/>
    </row>
    <row r="101" spans="1:16"/>
    <row r="102" spans="1:16">
      <c r="A102" s="4" t="s">
        <v>113</v>
      </c>
      <c r="J102" s="4" t="s">
        <v>124</v>
      </c>
      <c r="O102" t="s">
        <v>0</v>
      </c>
      <c r="P102" t="s">
        <v>1</v>
      </c>
    </row>
    <row r="103" spans="1:16">
      <c r="C103" s="31"/>
      <c r="D103" s="31"/>
      <c r="E103" s="31"/>
      <c r="F103" s="31" t="s">
        <v>38</v>
      </c>
      <c r="K103" t="s">
        <v>196</v>
      </c>
      <c r="N103" s="19" t="s">
        <v>8</v>
      </c>
      <c r="O103" s="52">
        <f>F104</f>
        <v>0</v>
      </c>
      <c r="P103" s="53"/>
    </row>
    <row r="104" spans="1:16">
      <c r="C104" s="94" t="s">
        <v>164</v>
      </c>
      <c r="D104" t="s">
        <v>8</v>
      </c>
      <c r="F104" s="149"/>
      <c r="H104" s="150" t="s">
        <v>203</v>
      </c>
      <c r="K104" t="s">
        <v>67</v>
      </c>
      <c r="N104" s="19" t="s">
        <v>8</v>
      </c>
      <c r="O104" s="143">
        <f>F105*O16</f>
        <v>0</v>
      </c>
      <c r="P104" s="53"/>
    </row>
    <row r="105" spans="1:16">
      <c r="C105" s="94" t="s">
        <v>129</v>
      </c>
      <c r="D105" t="s">
        <v>8</v>
      </c>
      <c r="F105" s="149"/>
      <c r="H105" s="150" t="s">
        <v>203</v>
      </c>
      <c r="K105" t="s">
        <v>68</v>
      </c>
      <c r="N105" s="19" t="s">
        <v>8</v>
      </c>
      <c r="O105" s="52">
        <f>F106</f>
        <v>0</v>
      </c>
      <c r="P105" s="53"/>
    </row>
    <row r="106" spans="1:16">
      <c r="C106" s="94" t="s">
        <v>40</v>
      </c>
      <c r="D106" t="s">
        <v>8</v>
      </c>
      <c r="F106" s="149"/>
      <c r="H106" s="150" t="s">
        <v>203</v>
      </c>
      <c r="K106" t="s">
        <v>69</v>
      </c>
    </row>
    <row r="107" spans="1:16">
      <c r="C107" s="94"/>
      <c r="M107" t="s">
        <v>264</v>
      </c>
      <c r="N107" s="19" t="s">
        <v>6</v>
      </c>
      <c r="O107" s="70">
        <f>F65</f>
        <v>1.4999999999999999E-2</v>
      </c>
      <c r="P107" s="53"/>
    </row>
    <row r="108" spans="1:16">
      <c r="C108" s="94"/>
      <c r="M108" t="s">
        <v>79</v>
      </c>
      <c r="N108" s="19" t="s">
        <v>6</v>
      </c>
      <c r="O108" s="71">
        <f>P67</f>
        <v>0</v>
      </c>
      <c r="P108" s="53"/>
    </row>
    <row r="109" spans="1:16">
      <c r="C109" s="94"/>
      <c r="M109" t="s">
        <v>70</v>
      </c>
      <c r="N109" s="19" t="s">
        <v>6</v>
      </c>
      <c r="O109" s="70">
        <f>O108-O107</f>
        <v>-1.4999999999999999E-2</v>
      </c>
      <c r="P109" s="53"/>
    </row>
    <row r="110" spans="1:16">
      <c r="M110" s="95" t="s">
        <v>114</v>
      </c>
      <c r="N110" t="s">
        <v>8</v>
      </c>
      <c r="O110" s="143">
        <f>SUM(AK17:AK46)</f>
        <v>0</v>
      </c>
      <c r="P110" s="53"/>
    </row>
    <row r="111" spans="1:16"/>
    <row r="112" spans="1:16" s="264" customFormat="1" ht="15" customHeight="1" thickBot="1">
      <c r="B112" s="264" t="s">
        <v>252</v>
      </c>
      <c r="I112" s="265"/>
    </row>
    <row r="113" ht="19" hidden="1" thickTop="1"/>
  </sheetData>
  <phoneticPr fontId="2"/>
  <dataValidations count="2">
    <dataValidation type="list" allowBlank="1" showInputMessage="1" showErrorMessage="1" sqref="F13" xr:uid="{11F0802B-1D3C-4C13-86EC-B57369B54A47}">
      <formula1>$O$13:$Q$13</formula1>
    </dataValidation>
    <dataValidation type="list" allowBlank="1" showInputMessage="1" showErrorMessage="1" sqref="F47" xr:uid="{55FEF164-E765-4AAA-813E-6983B6D5C5E8}">
      <formula1>$G$47:$G$48</formula1>
    </dataValidation>
  </dataValidations>
  <pageMargins left="0.23622047244094491" right="0.23622047244094491" top="0.74803149606299213" bottom="0.74803149606299213" header="0.31496062992125984" footer="0.31496062992125984"/>
  <pageSetup paperSize="8" scale="41" fitToWidth="0" orientation="landscape" r:id="rId1"/>
  <colBreaks count="2" manualBreakCount="2">
    <brk id="21" max="1048575" man="1"/>
    <brk id="5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316B-6609-46E0-8802-761B9D3F8C4F}">
  <sheetPr>
    <tabColor rgb="FFFFC000"/>
    <pageSetUpPr fitToPage="1"/>
  </sheetPr>
  <dimension ref="A1:CM113"/>
  <sheetViews>
    <sheetView showGridLines="0" view="pageBreakPreview" topLeftCell="T2" zoomScale="70" zoomScaleNormal="40" zoomScaleSheetLayoutView="70" workbookViewId="0">
      <selection activeCell="BB28" sqref="BB28"/>
    </sheetView>
  </sheetViews>
  <sheetFormatPr baseColWidth="10" defaultColWidth="0" defaultRowHeight="18" zeroHeight="1" outlineLevelCol="1"/>
  <cols>
    <col min="1" max="1" width="4.83203125" customWidth="1"/>
    <col min="2" max="2" width="40.6640625" customWidth="1"/>
    <col min="3" max="3" width="40.1640625" bestFit="1" customWidth="1"/>
    <col min="4" max="4" width="7.33203125" customWidth="1"/>
    <col min="5" max="5" width="8.5" bestFit="1" customWidth="1"/>
    <col min="6" max="6" width="11.5" customWidth="1"/>
    <col min="7" max="7" width="2.5" customWidth="1"/>
    <col min="8" max="8" width="43.6640625" customWidth="1"/>
    <col min="9" max="9" width="1.6640625" customWidth="1"/>
    <col min="10" max="11" width="12.5" customWidth="1" outlineLevel="1"/>
    <col min="12" max="12" width="1.83203125" customWidth="1" outlineLevel="1"/>
    <col min="13" max="13" width="42.1640625" customWidth="1" outlineLevel="1"/>
    <col min="14" max="14" width="11.1640625" style="19" customWidth="1" outlineLevel="1"/>
    <col min="15" max="16" width="24.5" customWidth="1" outlineLevel="1"/>
    <col min="17" max="17" width="4.6640625" customWidth="1" outlineLevel="1"/>
    <col min="18" max="18" width="10" customWidth="1" outlineLevel="1"/>
    <col min="19" max="19" width="19.1640625" customWidth="1" outlineLevel="1"/>
    <col min="20" max="20" width="7.5" customWidth="1" outlineLevel="1"/>
    <col min="21" max="21" width="24.5" customWidth="1" outlineLevel="1"/>
    <col min="22" max="22" width="12" customWidth="1"/>
    <col min="23" max="23" width="9.6640625" customWidth="1"/>
    <col min="24" max="24" width="21.5" customWidth="1"/>
    <col min="25" max="26" width="10.83203125" customWidth="1"/>
    <col min="27" max="36" width="10.83203125" style="19" customWidth="1"/>
    <col min="37" max="38" width="10.83203125" style="31" customWidth="1"/>
    <col min="39" max="39" width="12" style="31" customWidth="1"/>
    <col min="40" max="40" width="1.6640625" style="31" customWidth="1"/>
    <col min="41" max="41" width="10.33203125" style="31" customWidth="1"/>
    <col min="42" max="45" width="10.33203125" style="19" customWidth="1"/>
    <col min="46" max="49" width="16" style="19" customWidth="1"/>
    <col min="50" max="54" width="10.6640625" style="19" customWidth="1"/>
    <col min="55" max="56" width="12" style="19" customWidth="1"/>
    <col min="57" max="57" width="1.6640625" style="19" customWidth="1"/>
    <col min="58" max="58" width="12" style="31" customWidth="1"/>
    <col min="59" max="59" width="1.5" style="19" customWidth="1"/>
    <col min="60" max="63" width="16" style="19" customWidth="1"/>
    <col min="64" max="70" width="12" style="19" customWidth="1"/>
    <col min="71" max="71" width="16.83203125" style="19" customWidth="1"/>
    <col min="72" max="74" width="12" style="19" customWidth="1"/>
    <col min="75" max="75" width="2.1640625" style="19" customWidth="1"/>
    <col min="76" max="76" width="12" style="19" customWidth="1"/>
    <col min="77" max="77" width="21" style="19" bestFit="1" customWidth="1"/>
    <col min="78" max="78" width="3.33203125" style="19" hidden="1" customWidth="1"/>
    <col min="79" max="79" width="0" style="19" hidden="1" customWidth="1"/>
    <col min="80" max="91" width="0" hidden="1" customWidth="1"/>
    <col min="92" max="16384" width="9" hidden="1"/>
  </cols>
  <sheetData>
    <row r="1" spans="1:79" ht="15.75" customHeight="1"/>
    <row r="2" spans="1:79">
      <c r="B2" s="4" t="s">
        <v>262</v>
      </c>
      <c r="Y2" s="242"/>
      <c r="Z2" s="242"/>
      <c r="AA2" s="33"/>
      <c r="AB2" s="33"/>
      <c r="AC2" s="33"/>
      <c r="AD2" s="33"/>
      <c r="AE2" s="33"/>
      <c r="AF2" s="33"/>
      <c r="AG2" s="33"/>
      <c r="AH2" s="33"/>
      <c r="AI2" s="33"/>
      <c r="AJ2" s="33"/>
      <c r="AK2" s="234"/>
      <c r="AL2" s="234"/>
      <c r="AM2" s="234"/>
      <c r="AO2" s="234"/>
      <c r="AP2" s="33"/>
      <c r="AQ2" s="33"/>
      <c r="AR2" s="33"/>
      <c r="AS2" s="33"/>
      <c r="AT2" s="33"/>
      <c r="AU2" s="33"/>
      <c r="AV2" s="33"/>
      <c r="AW2" s="33"/>
      <c r="AX2" s="33"/>
      <c r="AY2" s="33"/>
      <c r="AZ2" s="33"/>
      <c r="BA2" s="33"/>
      <c r="BB2" s="33"/>
      <c r="BC2" s="33"/>
      <c r="BD2" s="33"/>
      <c r="BH2" s="33"/>
      <c r="BI2" s="33"/>
      <c r="BJ2" s="33"/>
      <c r="BK2" s="33"/>
      <c r="BL2" s="33"/>
      <c r="BM2" s="33"/>
      <c r="BN2" s="33"/>
      <c r="BO2" s="33"/>
      <c r="BP2" s="33"/>
      <c r="BQ2" s="33"/>
      <c r="BR2" s="33"/>
      <c r="BS2" s="33"/>
      <c r="BT2" s="33"/>
      <c r="BU2" s="33"/>
      <c r="BV2" s="33"/>
    </row>
    <row r="3" spans="1:79">
      <c r="B3" s="270" t="s">
        <v>263</v>
      </c>
      <c r="Y3" s="242"/>
      <c r="Z3" s="242"/>
      <c r="AA3" s="33"/>
      <c r="AB3" s="33"/>
      <c r="AC3" s="33"/>
      <c r="AD3" s="33"/>
      <c r="AE3" s="33"/>
      <c r="AF3" s="33"/>
      <c r="AG3" s="33"/>
      <c r="AH3" s="33"/>
      <c r="AI3" s="33"/>
      <c r="AJ3" s="33"/>
      <c r="AK3" s="234"/>
      <c r="AL3" s="234"/>
      <c r="AM3" s="234"/>
      <c r="AO3" s="234"/>
      <c r="AP3" s="33"/>
      <c r="AQ3" s="33"/>
      <c r="AR3" s="33"/>
      <c r="AS3" s="33"/>
      <c r="AT3" s="33"/>
      <c r="AU3" s="33"/>
      <c r="AV3" s="33"/>
      <c r="AW3" s="33"/>
      <c r="AX3" s="33"/>
      <c r="AY3" s="33"/>
      <c r="AZ3" s="33"/>
      <c r="BA3" s="33"/>
      <c r="BB3" s="33"/>
      <c r="BC3" s="33"/>
      <c r="BD3" s="33"/>
      <c r="BH3" s="33"/>
      <c r="BI3" s="33"/>
      <c r="BJ3" s="33"/>
      <c r="BK3" s="33"/>
      <c r="BL3" s="33"/>
      <c r="BM3" s="33"/>
      <c r="BN3" s="33"/>
      <c r="BO3" s="33"/>
      <c r="BP3" s="33"/>
      <c r="BQ3" s="33"/>
      <c r="BR3" s="33"/>
      <c r="BS3" s="33"/>
      <c r="BT3" s="33"/>
      <c r="BU3" s="33"/>
      <c r="BV3" s="33"/>
    </row>
    <row r="4" spans="1:79">
      <c r="B4" s="271" t="s">
        <v>261</v>
      </c>
      <c r="Y4" s="242"/>
      <c r="Z4" s="242"/>
      <c r="AA4" s="33"/>
      <c r="AB4" s="33"/>
      <c r="AC4" s="33"/>
      <c r="AD4" s="33"/>
      <c r="AE4" s="33"/>
      <c r="AF4" s="33"/>
      <c r="AG4" s="33"/>
      <c r="AH4" s="33"/>
      <c r="AI4" s="33"/>
      <c r="AJ4" s="33"/>
      <c r="AK4" s="234"/>
      <c r="AL4" s="234"/>
      <c r="AM4" s="234"/>
      <c r="AO4" s="234"/>
      <c r="AP4" s="33"/>
      <c r="AQ4" s="33"/>
      <c r="AR4" s="33"/>
      <c r="AS4" s="33"/>
      <c r="AT4" s="33"/>
      <c r="AU4" s="33"/>
      <c r="AV4" s="33"/>
      <c r="AW4" s="33"/>
      <c r="AX4" s="33"/>
      <c r="AY4" s="33"/>
      <c r="AZ4" s="33"/>
      <c r="BA4" s="33"/>
      <c r="BB4" s="33"/>
      <c r="BC4" s="33"/>
      <c r="BD4" s="33"/>
      <c r="BH4" s="33"/>
      <c r="BI4" s="33"/>
      <c r="BJ4" s="33"/>
      <c r="BK4" s="33"/>
      <c r="BL4" s="33"/>
      <c r="BM4" s="33"/>
      <c r="BN4" s="33"/>
      <c r="BO4" s="33"/>
      <c r="BP4" s="33"/>
      <c r="BQ4" s="33"/>
      <c r="BR4" s="33"/>
      <c r="BS4" s="33"/>
      <c r="BT4" s="33"/>
      <c r="BU4" s="33"/>
      <c r="BV4" s="33"/>
    </row>
    <row r="5" spans="1:79" ht="15.75" customHeight="1">
      <c r="B5" s="272" t="s">
        <v>260</v>
      </c>
      <c r="Y5" s="242"/>
      <c r="Z5" s="242"/>
      <c r="AA5" s="33"/>
      <c r="AB5" s="33"/>
      <c r="AC5" s="33"/>
      <c r="AD5" s="33"/>
      <c r="AE5" s="33"/>
      <c r="AF5" s="33"/>
      <c r="AG5" s="33"/>
      <c r="AH5" s="33"/>
      <c r="AI5" s="33"/>
      <c r="AJ5" s="33"/>
      <c r="AK5" s="234"/>
      <c r="AL5" s="234"/>
      <c r="AM5" s="234"/>
      <c r="AO5" s="234"/>
      <c r="AP5" s="33"/>
      <c r="AQ5" s="33"/>
      <c r="AR5" s="33"/>
      <c r="AS5" s="33"/>
      <c r="AT5" s="33"/>
      <c r="AU5" s="33"/>
      <c r="AV5" s="33"/>
      <c r="AW5" s="33"/>
      <c r="AX5" s="33"/>
      <c r="AY5" s="33"/>
      <c r="AZ5" s="33"/>
      <c r="BA5" s="33"/>
      <c r="BB5" s="33"/>
      <c r="BC5" s="33"/>
      <c r="BD5" s="33"/>
      <c r="BH5" s="33"/>
      <c r="BI5" s="33"/>
      <c r="BJ5" s="33"/>
      <c r="BK5" s="33"/>
      <c r="BL5" s="33"/>
      <c r="BM5" s="33"/>
      <c r="BN5" s="33"/>
      <c r="BO5" s="33"/>
      <c r="BP5" s="33"/>
      <c r="BQ5" s="33"/>
      <c r="BR5" s="33"/>
      <c r="BS5" s="33"/>
      <c r="BT5" s="33"/>
      <c r="BU5" s="33"/>
      <c r="BV5" s="33"/>
    </row>
    <row r="6" spans="1:79" ht="15.75" customHeight="1">
      <c r="Y6" s="242"/>
      <c r="Z6" s="242"/>
      <c r="AA6" s="33"/>
      <c r="AB6" s="33"/>
      <c r="AC6" s="33"/>
      <c r="AD6" s="33"/>
      <c r="AE6" s="33"/>
      <c r="AF6" s="33"/>
      <c r="AG6" s="33"/>
      <c r="AH6" s="33"/>
      <c r="AI6" s="33"/>
      <c r="AJ6" s="33"/>
      <c r="AK6" s="234"/>
      <c r="AL6" s="234"/>
      <c r="AM6" s="234"/>
      <c r="AO6" s="234"/>
      <c r="AP6" s="33"/>
      <c r="AQ6" s="33"/>
      <c r="AR6" s="33"/>
      <c r="AS6" s="33"/>
      <c r="AT6" s="33"/>
      <c r="AU6" s="33"/>
      <c r="AV6" s="33"/>
      <c r="AW6" s="33"/>
      <c r="AX6" s="33"/>
      <c r="AY6" s="33"/>
      <c r="AZ6" s="33"/>
      <c r="BA6" s="33"/>
      <c r="BB6" s="33"/>
      <c r="BC6" s="33"/>
      <c r="BD6" s="33"/>
      <c r="BH6" s="33"/>
      <c r="BI6" s="33"/>
      <c r="BJ6" s="33"/>
      <c r="BK6" s="33"/>
      <c r="BL6" s="33"/>
      <c r="BM6" s="33"/>
      <c r="BN6" s="33"/>
      <c r="BO6" s="33"/>
      <c r="BP6" s="33"/>
      <c r="BQ6" s="33"/>
      <c r="BR6" s="33"/>
      <c r="BS6" s="33"/>
      <c r="BT6" s="33"/>
      <c r="BU6" s="33"/>
      <c r="BV6" s="33"/>
    </row>
    <row r="7" spans="1:79" s="4" customFormat="1" ht="15.75" customHeight="1">
      <c r="A7" s="25" t="s">
        <v>98</v>
      </c>
      <c r="B7" s="25"/>
      <c r="C7" s="25"/>
      <c r="D7" s="25"/>
      <c r="E7" s="25"/>
      <c r="F7" s="25"/>
      <c r="G7" s="25"/>
      <c r="H7" s="25"/>
      <c r="I7" s="25"/>
      <c r="J7" s="24" t="s">
        <v>46</v>
      </c>
      <c r="K7" s="24"/>
      <c r="L7" s="24"/>
      <c r="M7" s="24"/>
      <c r="N7" s="85"/>
      <c r="O7" s="24"/>
      <c r="P7" s="24"/>
      <c r="Q7" s="24"/>
      <c r="R7" s="24"/>
      <c r="S7" s="24"/>
      <c r="T7" s="24"/>
      <c r="U7" s="24"/>
      <c r="V7" s="22" t="s">
        <v>22</v>
      </c>
      <c r="W7" s="22"/>
      <c r="X7" s="22"/>
      <c r="Y7" s="22"/>
      <c r="Z7" s="22"/>
      <c r="AA7" s="23"/>
      <c r="AB7" s="23"/>
      <c r="AC7" s="23"/>
      <c r="AD7" s="23"/>
      <c r="AE7" s="23"/>
      <c r="AF7" s="23"/>
      <c r="AG7" s="23"/>
      <c r="AH7" s="23"/>
      <c r="AI7" s="23"/>
      <c r="AJ7" s="23"/>
      <c r="AK7" s="30"/>
      <c r="AL7" s="30"/>
      <c r="AM7" s="30"/>
      <c r="AN7" s="30"/>
      <c r="AO7" s="30"/>
      <c r="AP7" s="23"/>
      <c r="AQ7" s="23"/>
      <c r="AR7" s="23"/>
      <c r="AS7" s="23"/>
      <c r="AT7" s="23"/>
      <c r="AU7" s="23"/>
      <c r="AV7" s="23"/>
      <c r="AW7" s="23"/>
      <c r="AX7" s="23"/>
      <c r="AY7" s="23"/>
      <c r="AZ7" s="23"/>
      <c r="BA7" s="23"/>
      <c r="BB7" s="23"/>
      <c r="BC7" s="23"/>
      <c r="BD7" s="23"/>
      <c r="BE7" s="23"/>
      <c r="BF7" s="30"/>
      <c r="BG7" s="23"/>
      <c r="BH7" s="23"/>
      <c r="BI7" s="23"/>
      <c r="BJ7" s="23"/>
      <c r="BK7" s="23"/>
      <c r="BL7" s="23"/>
      <c r="BM7" s="23"/>
      <c r="BN7" s="23"/>
      <c r="BO7" s="23"/>
      <c r="BP7" s="23"/>
      <c r="BQ7" s="23"/>
      <c r="BR7" s="23"/>
      <c r="BS7" s="23"/>
      <c r="BT7" s="23"/>
      <c r="BU7" s="23"/>
      <c r="BV7" s="23"/>
      <c r="BW7" s="23"/>
      <c r="BX7" s="23"/>
      <c r="BY7" s="23"/>
      <c r="BZ7" s="23"/>
      <c r="CA7" s="23"/>
    </row>
    <row r="8" spans="1:79" s="4" customFormat="1" ht="15.75" customHeight="1">
      <c r="A8" s="257"/>
      <c r="B8" s="273" t="s">
        <v>266</v>
      </c>
      <c r="C8" s="257"/>
      <c r="D8" s="257"/>
      <c r="E8" s="257"/>
      <c r="F8" s="257"/>
      <c r="G8" s="257"/>
      <c r="H8" s="257"/>
      <c r="I8" s="257"/>
      <c r="N8" s="5"/>
      <c r="AA8" s="5"/>
      <c r="AB8" s="5"/>
      <c r="AC8" s="5"/>
      <c r="AD8" s="5"/>
      <c r="AE8" s="5"/>
      <c r="AF8" s="5"/>
      <c r="AG8" s="5"/>
      <c r="AH8" s="5"/>
      <c r="AI8" s="5"/>
      <c r="AJ8" s="5"/>
      <c r="AK8" s="260"/>
      <c r="AL8" s="260"/>
      <c r="AM8" s="260"/>
      <c r="AN8" s="260"/>
      <c r="AO8" s="260"/>
      <c r="AP8" s="5"/>
      <c r="AQ8" s="5"/>
      <c r="AR8" s="5"/>
      <c r="AS8" s="5"/>
      <c r="AT8" s="5"/>
      <c r="AU8" s="5"/>
      <c r="AV8" s="5"/>
      <c r="AW8" s="5"/>
      <c r="AX8" s="5"/>
      <c r="AY8" s="5"/>
      <c r="AZ8" s="5"/>
      <c r="BA8" s="5"/>
      <c r="BB8" s="5"/>
      <c r="BC8" s="5"/>
      <c r="BD8" s="5"/>
      <c r="BE8" s="5"/>
      <c r="BF8" s="260"/>
      <c r="BG8" s="5"/>
      <c r="BH8" s="5"/>
      <c r="BI8" s="5"/>
      <c r="BJ8" s="5"/>
      <c r="BK8" s="5"/>
      <c r="BL8" s="5"/>
      <c r="BM8" s="5"/>
      <c r="BN8" s="5"/>
      <c r="BO8" s="5"/>
      <c r="BP8" s="5"/>
      <c r="BQ8" s="5"/>
      <c r="BR8" s="5"/>
      <c r="BS8" s="5"/>
      <c r="BT8" s="5"/>
      <c r="BU8" s="5"/>
      <c r="BV8" s="5"/>
      <c r="BW8" s="5"/>
      <c r="BX8" s="5"/>
      <c r="BY8" s="5"/>
      <c r="BZ8" s="5"/>
      <c r="CA8" s="5"/>
    </row>
    <row r="9" spans="1:79" ht="15.75" customHeight="1" thickBot="1">
      <c r="W9" s="55" t="s">
        <v>15</v>
      </c>
      <c r="X9" s="50"/>
      <c r="Y9" s="50"/>
      <c r="AC9" s="8" t="s">
        <v>47</v>
      </c>
    </row>
    <row r="10" spans="1:79" ht="15.75" customHeight="1">
      <c r="D10" t="s">
        <v>19</v>
      </c>
      <c r="K10" s="19"/>
      <c r="L10" s="19"/>
      <c r="M10" s="19"/>
      <c r="N10" s="19" t="s">
        <v>19</v>
      </c>
      <c r="O10" s="19"/>
      <c r="P10" s="19"/>
      <c r="Q10" s="19" t="s">
        <v>20</v>
      </c>
      <c r="R10" s="19"/>
      <c r="S10" s="19"/>
      <c r="T10" s="19"/>
      <c r="U10" s="19"/>
      <c r="W10" s="10" t="s">
        <v>16</v>
      </c>
      <c r="X10" s="11" t="s">
        <v>245</v>
      </c>
      <c r="Y10" s="12" t="s">
        <v>6</v>
      </c>
      <c r="AC10" s="9" t="s">
        <v>17</v>
      </c>
      <c r="BQ10" s="5"/>
      <c r="BR10" s="5"/>
      <c r="BS10" s="5"/>
      <c r="BT10" s="5"/>
      <c r="BY10" s="5"/>
    </row>
    <row r="11" spans="1:79" ht="15.75" customHeight="1" thickBot="1">
      <c r="A11" s="4" t="s">
        <v>60</v>
      </c>
      <c r="J11" s="4" t="s">
        <v>60</v>
      </c>
      <c r="W11" s="173">
        <f>AL58-BC58</f>
        <v>-236.75</v>
      </c>
      <c r="X11" s="174">
        <f>AM58-BD58</f>
        <v>-166.11354795984812</v>
      </c>
      <c r="Y11" s="57">
        <f>X11/AM58</f>
        <v>8.31060025231697E-2</v>
      </c>
      <c r="AC11" s="167" t="str">
        <f>IFERROR(XIRR(BV17:BV56,V17:V56),"N/A")</f>
        <v>N/A</v>
      </c>
      <c r="AD11" s="56" t="s">
        <v>78</v>
      </c>
      <c r="BQ11" s="5"/>
      <c r="BR11" s="5"/>
      <c r="BS11" s="5"/>
      <c r="BT11" s="5"/>
      <c r="BY11" s="5"/>
    </row>
    <row r="12" spans="1:79" ht="15.75" customHeight="1">
      <c r="AA12"/>
      <c r="AB12"/>
      <c r="AC12"/>
      <c r="AD12"/>
    </row>
    <row r="13" spans="1:79" ht="15.75" customHeight="1">
      <c r="B13" t="s">
        <v>150</v>
      </c>
      <c r="F13" s="29" t="s">
        <v>153</v>
      </c>
      <c r="J13" t="s">
        <v>150</v>
      </c>
      <c r="O13" t="s">
        <v>151</v>
      </c>
      <c r="P13" t="s">
        <v>152</v>
      </c>
      <c r="Q13" t="s">
        <v>153</v>
      </c>
      <c r="V13" s="5" t="s">
        <v>244</v>
      </c>
      <c r="W13" s="5" t="s">
        <v>9</v>
      </c>
      <c r="X13" s="5" t="s">
        <v>3</v>
      </c>
      <c r="Y13" s="59" t="s">
        <v>0</v>
      </c>
      <c r="Z13" s="60"/>
      <c r="AA13" s="60"/>
      <c r="AB13" s="60"/>
      <c r="AC13" s="60"/>
      <c r="AD13" s="60"/>
      <c r="AE13" s="60"/>
      <c r="AF13" s="60"/>
      <c r="AG13" s="60"/>
      <c r="AH13" s="60"/>
      <c r="AI13" s="60"/>
      <c r="AJ13" s="103"/>
      <c r="AK13" s="146" t="s">
        <v>38</v>
      </c>
      <c r="AL13" s="147"/>
      <c r="AM13" s="96"/>
      <c r="AN13" s="32"/>
      <c r="AO13" s="208" t="s">
        <v>1</v>
      </c>
      <c r="AP13" s="209"/>
      <c r="AQ13" s="209"/>
      <c r="AR13" s="209"/>
      <c r="AS13" s="209"/>
      <c r="AT13" s="209"/>
      <c r="AU13" s="209"/>
      <c r="AV13" s="209"/>
      <c r="AW13" s="209"/>
      <c r="AX13" s="209"/>
      <c r="AY13" s="209"/>
      <c r="AZ13" s="209"/>
      <c r="BA13" s="209"/>
      <c r="BB13" s="209"/>
      <c r="BC13" s="210"/>
      <c r="BD13" s="211" t="s">
        <v>14</v>
      </c>
      <c r="BE13" s="33"/>
      <c r="BF13" s="19"/>
      <c r="BH13" s="65" t="s">
        <v>2</v>
      </c>
      <c r="BI13" s="66"/>
      <c r="BJ13" s="66"/>
      <c r="BK13" s="66"/>
      <c r="BL13" s="66"/>
      <c r="BM13" s="66"/>
      <c r="BN13" s="66"/>
      <c r="BO13" s="66"/>
      <c r="BP13" s="66"/>
      <c r="BQ13" s="66"/>
      <c r="BR13" s="66"/>
      <c r="BS13" s="66"/>
      <c r="BT13" s="66"/>
      <c r="BU13" s="66"/>
      <c r="BV13" s="136"/>
      <c r="BX13" s="84" t="s">
        <v>75</v>
      </c>
      <c r="BY13" s="84" t="s">
        <v>274</v>
      </c>
    </row>
    <row r="14" spans="1:79" ht="15.75" customHeight="1">
      <c r="B14" t="s">
        <v>154</v>
      </c>
      <c r="D14" t="s">
        <v>49</v>
      </c>
      <c r="F14" s="134" t="s">
        <v>51</v>
      </c>
      <c r="Y14" s="59" t="s">
        <v>12</v>
      </c>
      <c r="Z14" s="60"/>
      <c r="AA14" s="60"/>
      <c r="AB14" s="60"/>
      <c r="AC14" s="61"/>
      <c r="AD14" s="59" t="s">
        <v>13</v>
      </c>
      <c r="AE14" s="60"/>
      <c r="AF14" s="60"/>
      <c r="AG14" s="60"/>
      <c r="AH14" s="60"/>
      <c r="AI14" s="144"/>
      <c r="AJ14" s="105" t="s">
        <v>14</v>
      </c>
      <c r="AK14" s="96"/>
      <c r="AL14" s="34"/>
      <c r="AM14" s="107" t="s">
        <v>14</v>
      </c>
      <c r="AN14" s="32"/>
      <c r="AO14" s="63" t="s">
        <v>12</v>
      </c>
      <c r="AP14" s="62"/>
      <c r="AQ14" s="62"/>
      <c r="AR14" s="62"/>
      <c r="AS14" s="64"/>
      <c r="AT14" s="62" t="s">
        <v>13</v>
      </c>
      <c r="AU14" s="62"/>
      <c r="AV14" s="62"/>
      <c r="AW14" s="62"/>
      <c r="AX14" s="62"/>
      <c r="AY14" s="62"/>
      <c r="AZ14" s="62"/>
      <c r="BA14" s="62"/>
      <c r="BB14" s="64"/>
      <c r="BC14" s="35" t="s">
        <v>14</v>
      </c>
      <c r="BD14" s="35" t="s">
        <v>56</v>
      </c>
      <c r="BE14" s="33"/>
      <c r="BF14" s="19"/>
      <c r="BH14" s="65" t="s">
        <v>12</v>
      </c>
      <c r="BI14" s="66"/>
      <c r="BJ14" s="66"/>
      <c r="BK14" s="66"/>
      <c r="BL14" s="66"/>
      <c r="BM14" s="66"/>
      <c r="BN14" s="67"/>
      <c r="BO14" s="65" t="s">
        <v>13</v>
      </c>
      <c r="BP14" s="66"/>
      <c r="BQ14" s="66"/>
      <c r="BR14" s="66"/>
      <c r="BS14" s="66"/>
      <c r="BT14" s="66"/>
      <c r="BU14" s="67"/>
      <c r="BV14" s="44" t="s">
        <v>14</v>
      </c>
      <c r="BX14" s="91"/>
      <c r="BY14" s="288" t="s">
        <v>275</v>
      </c>
    </row>
    <row r="15" spans="1:79" s="242" customFormat="1" ht="32.25" customHeight="1">
      <c r="N15" s="33"/>
      <c r="Y15" s="39" t="s">
        <v>4</v>
      </c>
      <c r="Z15" s="40" t="s">
        <v>30</v>
      </c>
      <c r="AA15" s="40" t="s">
        <v>31</v>
      </c>
      <c r="AB15" s="40" t="s">
        <v>247</v>
      </c>
      <c r="AC15" s="41" t="s">
        <v>36</v>
      </c>
      <c r="AD15" s="39" t="s">
        <v>248</v>
      </c>
      <c r="AE15" s="40" t="s">
        <v>33</v>
      </c>
      <c r="AF15" s="40" t="s">
        <v>258</v>
      </c>
      <c r="AG15" s="40" t="s">
        <v>34</v>
      </c>
      <c r="AH15" s="40" t="s">
        <v>35</v>
      </c>
      <c r="AI15" s="42" t="s">
        <v>37</v>
      </c>
      <c r="AJ15" s="97"/>
      <c r="AK15" s="83" t="s">
        <v>271</v>
      </c>
      <c r="AL15" s="42" t="s">
        <v>97</v>
      </c>
      <c r="AM15" s="109" t="s">
        <v>56</v>
      </c>
      <c r="AN15" s="32"/>
      <c r="AO15" s="86" t="s">
        <v>4</v>
      </c>
      <c r="AP15" s="87" t="s">
        <v>30</v>
      </c>
      <c r="AQ15" s="87" t="s">
        <v>31</v>
      </c>
      <c r="AR15" s="87" t="s">
        <v>246</v>
      </c>
      <c r="AS15" s="43" t="s">
        <v>36</v>
      </c>
      <c r="AT15" s="87" t="s">
        <v>61</v>
      </c>
      <c r="AU15" s="87" t="s">
        <v>41</v>
      </c>
      <c r="AV15" s="87" t="s">
        <v>42</v>
      </c>
      <c r="AW15" s="87" t="s">
        <v>249</v>
      </c>
      <c r="AX15" s="87" t="s">
        <v>258</v>
      </c>
      <c r="AY15" s="87" t="s">
        <v>168</v>
      </c>
      <c r="AZ15" s="87" t="s">
        <v>34</v>
      </c>
      <c r="BA15" s="87" t="s">
        <v>35</v>
      </c>
      <c r="BB15" s="43" t="s">
        <v>37</v>
      </c>
      <c r="BC15" s="88"/>
      <c r="BD15" s="43"/>
      <c r="BE15" s="33"/>
      <c r="BF15" s="262" t="s">
        <v>55</v>
      </c>
      <c r="BG15" s="33"/>
      <c r="BH15" s="45" t="s">
        <v>62</v>
      </c>
      <c r="BI15" s="37" t="s">
        <v>41</v>
      </c>
      <c r="BJ15" s="37" t="s">
        <v>42</v>
      </c>
      <c r="BK15" s="37" t="s">
        <v>249</v>
      </c>
      <c r="BL15" s="37" t="s">
        <v>250</v>
      </c>
      <c r="BM15" s="37" t="s">
        <v>247</v>
      </c>
      <c r="BN15" s="38" t="s">
        <v>36</v>
      </c>
      <c r="BO15" s="37" t="s">
        <v>32</v>
      </c>
      <c r="BP15" s="37" t="s">
        <v>54</v>
      </c>
      <c r="BQ15" s="37" t="s">
        <v>74</v>
      </c>
      <c r="BR15" s="37" t="s">
        <v>39</v>
      </c>
      <c r="BS15" s="37" t="s">
        <v>277</v>
      </c>
      <c r="BT15" s="37" t="s">
        <v>251</v>
      </c>
      <c r="BU15" s="38" t="s">
        <v>37</v>
      </c>
      <c r="BV15" s="38"/>
      <c r="BW15" s="33"/>
      <c r="BX15" s="92"/>
      <c r="BY15" s="287">
        <f>IF(SUM(BY17:BY46)=0,0,1)</f>
        <v>0</v>
      </c>
      <c r="BZ15" s="33"/>
    </row>
    <row r="16" spans="1:79" ht="15.75" customHeight="1">
      <c r="B16" t="s">
        <v>155</v>
      </c>
      <c r="C16" t="s">
        <v>27</v>
      </c>
      <c r="D16" t="s">
        <v>7</v>
      </c>
      <c r="F16" s="1">
        <v>3</v>
      </c>
      <c r="J16" s="4" t="s">
        <v>156</v>
      </c>
      <c r="N16" s="19" t="s">
        <v>7</v>
      </c>
      <c r="O16" s="20">
        <f>SUM(F16:F17)</f>
        <v>23</v>
      </c>
      <c r="V16" s="104" t="s">
        <v>38</v>
      </c>
      <c r="Y16" s="170"/>
      <c r="Z16" s="152"/>
      <c r="AA16" s="152"/>
      <c r="AB16" s="152"/>
      <c r="AC16" s="152"/>
      <c r="AD16" s="152"/>
      <c r="AE16" s="152"/>
      <c r="AF16" s="152"/>
      <c r="AG16" s="152"/>
      <c r="AH16" s="152"/>
      <c r="AI16" s="152"/>
      <c r="AJ16" s="152"/>
      <c r="AK16" s="166"/>
      <c r="AL16" s="169">
        <f>-SUM(BS17,SUM(BR17:BR46),O105,O110)</f>
        <v>0</v>
      </c>
      <c r="AM16" s="158">
        <f>AL16*BF16</f>
        <v>0</v>
      </c>
      <c r="AN16" s="166"/>
      <c r="AO16" s="151"/>
      <c r="AP16" s="152"/>
      <c r="AQ16" s="152"/>
      <c r="AR16" s="152"/>
      <c r="AS16" s="152"/>
      <c r="AT16" s="152"/>
      <c r="AU16" s="152"/>
      <c r="AV16" s="152"/>
      <c r="AW16" s="152"/>
      <c r="AX16" s="152"/>
      <c r="AY16" s="152"/>
      <c r="AZ16" s="152"/>
      <c r="BA16" s="152"/>
      <c r="BB16" s="152"/>
      <c r="BC16" s="152"/>
      <c r="BD16" s="171"/>
      <c r="BE16" s="31"/>
      <c r="BF16" s="106">
        <v>1</v>
      </c>
      <c r="BH16" s="151"/>
      <c r="BI16" s="152"/>
      <c r="BJ16" s="152"/>
      <c r="BK16" s="152"/>
      <c r="BL16" s="152"/>
      <c r="BM16" s="152"/>
      <c r="BN16" s="152"/>
      <c r="BO16" s="152"/>
      <c r="BP16" s="152"/>
      <c r="BQ16" s="152"/>
      <c r="BR16" s="152"/>
      <c r="BS16" s="152"/>
      <c r="BT16" s="152"/>
      <c r="BU16" s="152"/>
      <c r="BV16" s="152"/>
      <c r="BW16" s="153"/>
      <c r="BX16" s="154"/>
      <c r="BY16" s="283"/>
      <c r="CA16"/>
    </row>
    <row r="17" spans="1:79" ht="15.75" customHeight="1">
      <c r="C17" t="s">
        <v>28</v>
      </c>
      <c r="D17" t="s">
        <v>7</v>
      </c>
      <c r="F17" s="1">
        <v>20</v>
      </c>
      <c r="J17" s="114"/>
      <c r="V17" s="58">
        <f>IF(W17=1,DATE(YEAR($F$18)+(MONTH($F$18)&gt;=4),4,0),EOMONTH(V15,12))</f>
        <v>45747</v>
      </c>
      <c r="W17" s="6">
        <v>1</v>
      </c>
      <c r="X17" s="282" t="str">
        <f>IF(W17&gt;$O$16,"-",IF($W17&lt;=$F$16,"整備期間","維持管理・運営期間"))</f>
        <v>整備期間</v>
      </c>
      <c r="Y17" s="161">
        <f t="shared" ref="Y17:Y56" si="0">IF($W17=$F$16,$O$61,0)</f>
        <v>0</v>
      </c>
      <c r="Z17" s="159">
        <f t="shared" ref="Z17:Z56" si="1">IF($W17=$F$16,$O$63,0)</f>
        <v>0</v>
      </c>
      <c r="AA17" s="159">
        <f t="shared" ref="AA17:AA56" si="2">IF($W17=$F$16,$O$62,0)</f>
        <v>0</v>
      </c>
      <c r="AB17" s="159">
        <f t="shared" ref="AB17:AB46" si="3">IF(X17="維持管理・運営期間",$F$56,0)</f>
        <v>0</v>
      </c>
      <c r="AC17" s="160">
        <f>SUM(Y17:Z17,AB17)</f>
        <v>0</v>
      </c>
      <c r="AD17" s="161">
        <f t="shared" ref="AD17:AD56" si="4">IF($W17=$F$16,$O$30,0)</f>
        <v>0</v>
      </c>
      <c r="AE17" s="159">
        <f t="shared" ref="AE17:AE56" si="5">IF($X17="維持管理・運営期間",$O$41,0)</f>
        <v>0</v>
      </c>
      <c r="AF17" s="159">
        <f t="shared" ref="AF17:AF46" si="6">IF(AND($W17&gt;0,$W17&lt;=$O$16),$E$45,0)</f>
        <v>10</v>
      </c>
      <c r="AG17" s="159">
        <f>IF(AND(SUM($AA$16:AA16)&gt;0,SUM($AG$16:AG16)&lt;$O$62,$W17&gt;=$O$65),$O$64,0)</f>
        <v>0</v>
      </c>
      <c r="AH17" s="230">
        <f>IF(SUM($AA16:$AA$17)&gt;0,($O$62-SUM($AG16:$AG$17))*$E$65,0)</f>
        <v>0</v>
      </c>
      <c r="AI17" s="160">
        <f>SUM(AD17:AF17)</f>
        <v>10</v>
      </c>
      <c r="AJ17" s="159">
        <f t="shared" ref="AJ17:AJ46" si="7">AC17-AI17</f>
        <v>-10</v>
      </c>
      <c r="AK17" s="162"/>
      <c r="AL17" s="163"/>
      <c r="AM17" s="160">
        <f t="shared" ref="AM17:AM46" si="8">AJ17*$BF17</f>
        <v>-9.6665055582406971</v>
      </c>
      <c r="AN17" s="164"/>
      <c r="AO17" s="161">
        <f t="shared" ref="AO17:AO56" si="9">IF($W17=$F$16,$P$61,0)</f>
        <v>0</v>
      </c>
      <c r="AP17" s="159">
        <f t="shared" ref="AP17:AP56" si="10">IF($W17=$F$16,$P$63,0)</f>
        <v>0</v>
      </c>
      <c r="AQ17" s="159">
        <f t="shared" ref="AQ17:AQ56" si="11">IF($W17=$F$16,$P$62,0)</f>
        <v>0</v>
      </c>
      <c r="AR17" s="159">
        <f t="shared" ref="AR17:AR46" si="12">IF($W17&lt;$O$16,IF(W17=$F$16,$U$92,$U$93),0)</f>
        <v>0</v>
      </c>
      <c r="AS17" s="160">
        <f>SUM(AO17:AP17,AR17)</f>
        <v>0</v>
      </c>
      <c r="AT17" s="159">
        <f t="shared" ref="AT17:AT46" si="13">IF(W17=$F$16,$P$30,0)</f>
        <v>0</v>
      </c>
      <c r="AU17" s="159">
        <f t="shared" ref="AU17:AU56" si="14">IFERROR(-PPMT($P$36,W17-$F$16,$F$17,SUM(P$31,P$51)),0)</f>
        <v>0</v>
      </c>
      <c r="AV17" s="159">
        <f t="shared" ref="AV17:AV56" si="15">IFERROR(-IPMT($P$36,W17-$F$16,$F$17,SUM($P$31,$P$51)),0)</f>
        <v>0</v>
      </c>
      <c r="AW17" s="159">
        <f>IF(AND(W17&gt;$F$16,W17&lt;=SUM($F$16:$F$17)),$P$43,0)</f>
        <v>0</v>
      </c>
      <c r="AX17" s="159">
        <f>IF($W17=1,$F$44,0)+IF(AND($W17&gt;0,$W17&lt;=$O$16),$F$45,0)</f>
        <v>31</v>
      </c>
      <c r="AY17" s="159">
        <f t="shared" ref="AY17:AY56" si="16">IF(AND(W17&gt;$F$16,W17&lt;=SUM($F$16:$F$17)),$P$54,0)</f>
        <v>0</v>
      </c>
      <c r="AZ17" s="159">
        <f>IF(AND(SUM($AQ$16:AQ16)&gt;0,SUM($AZ$16:AZ16)&lt;$P$62,$W17&gt;=$P$65),$P$64,0)</f>
        <v>0</v>
      </c>
      <c r="BA17" s="159">
        <f>IF(SUM($AQ16:$AQ$17)&gt;0,($P$62-SUM($AZ16:$AZ$17))*$F$65,0)</f>
        <v>0</v>
      </c>
      <c r="BB17" s="160">
        <f>SUM(AT17:AY17)</f>
        <v>31</v>
      </c>
      <c r="BC17" s="159">
        <f>AS17-BB17</f>
        <v>-31</v>
      </c>
      <c r="BD17" s="160">
        <f t="shared" ref="BD17:BD46" si="17">BC17*$BF17</f>
        <v>-29.966167230546159</v>
      </c>
      <c r="BE17" s="48"/>
      <c r="BF17" s="46">
        <f>1/(1+$O$22)</f>
        <v>0.96665055582406967</v>
      </c>
      <c r="BH17" s="155">
        <f>AT17</f>
        <v>0</v>
      </c>
      <c r="BI17" s="155">
        <f>AU17</f>
        <v>0</v>
      </c>
      <c r="BJ17" s="156">
        <f>AV17</f>
        <v>0</v>
      </c>
      <c r="BK17" s="156">
        <f>AW17</f>
        <v>0</v>
      </c>
      <c r="BL17" s="156">
        <f>AY17</f>
        <v>0</v>
      </c>
      <c r="BM17" s="156">
        <f t="shared" ref="BM17:BM46" si="18">IF($W17&gt;$F$16,$F$56,0)</f>
        <v>0</v>
      </c>
      <c r="BN17" s="157">
        <f>SUM(BH17:BM17)</f>
        <v>0</v>
      </c>
      <c r="BO17" s="156">
        <f t="shared" ref="BO17:BO56" si="19">IF($W17=$F$16,$P$32,0)</f>
        <v>0</v>
      </c>
      <c r="BP17" s="156">
        <f t="shared" ref="BP17:BP46" si="20">IF(AND(W17&gt;$F$16,W17&lt;=SUM($F$16:$F$17)),$P$41,0)</f>
        <v>0</v>
      </c>
      <c r="BQ17" s="156">
        <f t="shared" ref="BQ17:BQ56" si="21">IFERROR(-IPMT($P$67,W17-$F$16,$F$17,SUM(P$31,P$51)),0)</f>
        <v>0</v>
      </c>
      <c r="BR17" s="156">
        <f t="shared" ref="BR17:BR46" si="22">IF($W17&lt;=$O$16,$F$105,0)</f>
        <v>0</v>
      </c>
      <c r="BS17" s="228">
        <f>IF($W17=1,SUM($O$103,$O$105),0)</f>
        <v>0</v>
      </c>
      <c r="BT17" s="156">
        <f t="shared" ref="BT17:BT46" si="23">IF($W17&lt;$O$16,IF(W17=$F$16,$P$93,$P$94),0)</f>
        <v>0</v>
      </c>
      <c r="BU17" s="157">
        <f>SUM(BO17:BP17,BR17:BT17)</f>
        <v>0</v>
      </c>
      <c r="BV17" s="157">
        <f t="shared" ref="BV17:BV46" si="24">BN17-BU17</f>
        <v>0</v>
      </c>
      <c r="BW17" s="153"/>
      <c r="BX17" s="158">
        <f t="shared" ref="BX17:BX56" si="25">IFERROR(-PPMT($P$67,$W17-$F$16,$F$17,SUM(P$31,P$51)),0)</f>
        <v>0</v>
      </c>
      <c r="BY17" s="284"/>
      <c r="CA17"/>
    </row>
    <row r="18" spans="1:79" ht="15.75" customHeight="1">
      <c r="C18" t="s">
        <v>63</v>
      </c>
      <c r="F18" s="68">
        <v>45383</v>
      </c>
      <c r="J18" s="114"/>
      <c r="V18" s="58">
        <f t="shared" ref="V18:V46" si="26">IF(W18=1,DATE(YEAR($F$18)+(MONTH($F$18)&gt;=4),4,0),EOMONTH(V17,12))</f>
        <v>46112</v>
      </c>
      <c r="W18" s="7">
        <v>2</v>
      </c>
      <c r="X18" s="282" t="str">
        <f t="shared" ref="X18:X56" si="27">IF(W18&gt;$O$16,"-",IF($W18&lt;=$F$16,"整備期間","維持管理・運営期間"))</f>
        <v>整備期間</v>
      </c>
      <c r="Y18" s="161">
        <f t="shared" si="0"/>
        <v>0</v>
      </c>
      <c r="Z18" s="159">
        <f t="shared" si="1"/>
        <v>0</v>
      </c>
      <c r="AA18" s="159">
        <f t="shared" si="2"/>
        <v>0</v>
      </c>
      <c r="AB18" s="159">
        <f t="shared" si="3"/>
        <v>0</v>
      </c>
      <c r="AC18" s="160">
        <f t="shared" ref="AC18:AC46" si="28">SUM(Y18:Z18,AB18)</f>
        <v>0</v>
      </c>
      <c r="AD18" s="161">
        <f t="shared" si="4"/>
        <v>0</v>
      </c>
      <c r="AE18" s="159">
        <f t="shared" si="5"/>
        <v>0</v>
      </c>
      <c r="AF18" s="159">
        <f t="shared" si="6"/>
        <v>10</v>
      </c>
      <c r="AG18" s="159">
        <f>IF(AND(SUM($AA$16:AA17)&gt;0,SUM($AG$16:AG17)&lt;$O$62,$W18&gt;=$O$65),$O$64,0)</f>
        <v>0</v>
      </c>
      <c r="AH18" s="228">
        <f>IF(SUM($AA17:$AA$17)&gt;0,($O$62-SUM($AG17:$AG$17))*$E$65,0)</f>
        <v>0</v>
      </c>
      <c r="AI18" s="160">
        <f t="shared" ref="AI18:AI46" si="29">SUM(AD18:AF18)</f>
        <v>10</v>
      </c>
      <c r="AJ18" s="156">
        <f t="shared" si="7"/>
        <v>-10</v>
      </c>
      <c r="AK18" s="162"/>
      <c r="AL18" s="163"/>
      <c r="AM18" s="157">
        <f t="shared" si="8"/>
        <v>-9.3441329707498273</v>
      </c>
      <c r="AN18" s="164"/>
      <c r="AO18" s="155">
        <f t="shared" si="9"/>
        <v>0</v>
      </c>
      <c r="AP18" s="156">
        <f t="shared" si="10"/>
        <v>0</v>
      </c>
      <c r="AQ18" s="156">
        <f t="shared" si="11"/>
        <v>0</v>
      </c>
      <c r="AR18" s="159">
        <f t="shared" si="12"/>
        <v>0</v>
      </c>
      <c r="AS18" s="160">
        <f t="shared" ref="AS18:AS46" si="30">SUM(AO18:AP18,AR18)</f>
        <v>0</v>
      </c>
      <c r="AT18" s="159">
        <f t="shared" si="13"/>
        <v>0</v>
      </c>
      <c r="AU18" s="159">
        <f t="shared" si="14"/>
        <v>0</v>
      </c>
      <c r="AV18" s="159">
        <f t="shared" si="15"/>
        <v>0</v>
      </c>
      <c r="AW18" s="159">
        <f t="shared" ref="AW18:AW46" si="31">IF(AND(W18&gt;$F$16,W18&lt;=SUM($F$16:$F$17)),$P$43,0)</f>
        <v>0</v>
      </c>
      <c r="AX18" s="159">
        <f t="shared" ref="AX18:AX56" si="32">IF($W18=1,$F$44,0)+IF(AND($W18&gt;0,$W18&lt;=$O$16),$F$45,0)</f>
        <v>6</v>
      </c>
      <c r="AY18" s="159">
        <f t="shared" si="16"/>
        <v>0</v>
      </c>
      <c r="AZ18" s="159">
        <f>IF(AND(SUM($AQ$16:AQ17)&gt;0,SUM($AZ$16:AZ17)&lt;$P$62,$W18&gt;=$P$65),$P$64,0)</f>
        <v>0</v>
      </c>
      <c r="BA18" s="159">
        <f>IF(SUM($AQ17:$AQ$17)&gt;0,($P$62-SUM($AZ17:$AZ$17))*$F$65,0)</f>
        <v>0</v>
      </c>
      <c r="BB18" s="160">
        <f t="shared" ref="BB18:BB46" si="33">SUM(AT18:AY18)</f>
        <v>6</v>
      </c>
      <c r="BC18" s="156">
        <f t="shared" ref="BC18:BC46" si="34">AS18-BB18</f>
        <v>-6</v>
      </c>
      <c r="BD18" s="157">
        <f t="shared" si="17"/>
        <v>-5.6064797824498971</v>
      </c>
      <c r="BE18" s="48"/>
      <c r="BF18" s="46">
        <f t="shared" ref="BF18:BF56" si="35">BF17/(1+$O$22)</f>
        <v>0.93441329707498277</v>
      </c>
      <c r="BH18" s="155">
        <f t="shared" ref="BH18:BH46" si="36">AT18</f>
        <v>0</v>
      </c>
      <c r="BI18" s="155">
        <f t="shared" ref="BI18:BI46" si="37">AU18</f>
        <v>0</v>
      </c>
      <c r="BJ18" s="156">
        <f t="shared" ref="BJ18:BJ46" si="38">AV18</f>
        <v>0</v>
      </c>
      <c r="BK18" s="156">
        <f t="shared" ref="BK18:BK46" si="39">AW18</f>
        <v>0</v>
      </c>
      <c r="BL18" s="156">
        <f t="shared" ref="BL18:BL46" si="40">AY18</f>
        <v>0</v>
      </c>
      <c r="BM18" s="156">
        <f t="shared" si="18"/>
        <v>0</v>
      </c>
      <c r="BN18" s="157">
        <f t="shared" ref="BN18:BN46" si="41">SUM(BH18:BM18)</f>
        <v>0</v>
      </c>
      <c r="BO18" s="156">
        <f t="shared" si="19"/>
        <v>0</v>
      </c>
      <c r="BP18" s="156">
        <f t="shared" si="20"/>
        <v>0</v>
      </c>
      <c r="BQ18" s="156">
        <f t="shared" si="21"/>
        <v>0</v>
      </c>
      <c r="BR18" s="156">
        <f t="shared" si="22"/>
        <v>0</v>
      </c>
      <c r="BS18" s="228">
        <f t="shared" ref="BS18:BS56" si="42">IF($W18=1,SUM($O$103,$O$105),0)</f>
        <v>0</v>
      </c>
      <c r="BT18" s="156">
        <f t="shared" si="23"/>
        <v>0</v>
      </c>
      <c r="BU18" s="157">
        <f t="shared" ref="BU18:BU46" si="43">SUM(BO18:BP18,BR18:BT18)</f>
        <v>0</v>
      </c>
      <c r="BV18" s="157">
        <f t="shared" si="24"/>
        <v>0</v>
      </c>
      <c r="BW18" s="153"/>
      <c r="BX18" s="158">
        <f t="shared" si="25"/>
        <v>0</v>
      </c>
      <c r="BY18" s="285"/>
      <c r="CA18"/>
    </row>
    <row r="19" spans="1:79" ht="15.75" customHeight="1">
      <c r="C19" t="s">
        <v>64</v>
      </c>
      <c r="F19" s="137">
        <f>EOMONTH(F18,12*F16-1)</f>
        <v>46477</v>
      </c>
      <c r="J19" s="114"/>
      <c r="V19" s="58">
        <f t="shared" si="26"/>
        <v>46477</v>
      </c>
      <c r="W19" s="7">
        <v>3</v>
      </c>
      <c r="X19" s="282" t="str">
        <f t="shared" si="27"/>
        <v>整備期間</v>
      </c>
      <c r="Y19" s="161">
        <f t="shared" si="0"/>
        <v>1140</v>
      </c>
      <c r="Z19" s="159">
        <f t="shared" si="1"/>
        <v>384.75</v>
      </c>
      <c r="AA19" s="159">
        <f t="shared" si="2"/>
        <v>1282.5</v>
      </c>
      <c r="AB19" s="159">
        <f t="shared" si="3"/>
        <v>0</v>
      </c>
      <c r="AC19" s="160">
        <f t="shared" si="28"/>
        <v>1524.75</v>
      </c>
      <c r="AD19" s="161">
        <f t="shared" si="4"/>
        <v>2850</v>
      </c>
      <c r="AE19" s="159">
        <f t="shared" si="5"/>
        <v>0</v>
      </c>
      <c r="AF19" s="159">
        <f t="shared" si="6"/>
        <v>10</v>
      </c>
      <c r="AG19" s="159">
        <f>IF(AND(SUM($AA$16:AA18)&gt;0,SUM($AG$16:AG18)&lt;$O$62,$W19&gt;=$O$65),$O$64,0)</f>
        <v>0</v>
      </c>
      <c r="AH19" s="228">
        <f>IF(SUM($AA$17:$AA18)&gt;0,($O$62-SUM($AG$17:$AG18))*$E$65,0)</f>
        <v>0</v>
      </c>
      <c r="AI19" s="160">
        <f t="shared" si="29"/>
        <v>2860</v>
      </c>
      <c r="AJ19" s="156">
        <f t="shared" si="7"/>
        <v>-1335.25</v>
      </c>
      <c r="AK19" s="162"/>
      <c r="AL19" s="163"/>
      <c r="AM19" s="157">
        <f t="shared" si="8"/>
        <v>-1206.0660753208031</v>
      </c>
      <c r="AN19" s="164"/>
      <c r="AO19" s="155">
        <f t="shared" si="9"/>
        <v>1080</v>
      </c>
      <c r="AP19" s="156">
        <f t="shared" si="10"/>
        <v>364.5</v>
      </c>
      <c r="AQ19" s="156">
        <f t="shared" si="11"/>
        <v>1215</v>
      </c>
      <c r="AR19" s="159">
        <f t="shared" si="12"/>
        <v>0</v>
      </c>
      <c r="AS19" s="160">
        <f t="shared" si="30"/>
        <v>1444.5</v>
      </c>
      <c r="AT19" s="159">
        <f t="shared" si="13"/>
        <v>2700</v>
      </c>
      <c r="AU19" s="159">
        <f t="shared" si="14"/>
        <v>0</v>
      </c>
      <c r="AV19" s="159">
        <f t="shared" si="15"/>
        <v>0</v>
      </c>
      <c r="AW19" s="159">
        <f t="shared" si="31"/>
        <v>0</v>
      </c>
      <c r="AX19" s="159">
        <f t="shared" si="32"/>
        <v>6</v>
      </c>
      <c r="AY19" s="159">
        <f t="shared" si="16"/>
        <v>0</v>
      </c>
      <c r="AZ19" s="159">
        <f>IF(AND(SUM($AQ$16:AQ18)&gt;0,SUM($AZ$16:AZ18)&lt;$P$62,$W19&gt;=$P$65),$P$64,0)</f>
        <v>0</v>
      </c>
      <c r="BA19" s="159">
        <f>IF(SUM($AQ$17:$AQ18)&gt;0,($P$62-SUM($AZ$17:$AZ18))*$F$65,0)</f>
        <v>0</v>
      </c>
      <c r="BB19" s="160">
        <f t="shared" si="33"/>
        <v>2706</v>
      </c>
      <c r="BC19" s="156">
        <f t="shared" si="34"/>
        <v>-1261.5</v>
      </c>
      <c r="BD19" s="157">
        <f t="shared" si="17"/>
        <v>-1139.4513042630167</v>
      </c>
      <c r="BE19" s="48"/>
      <c r="BF19" s="46">
        <f t="shared" si="35"/>
        <v>0.9032511329869336</v>
      </c>
      <c r="BH19" s="155">
        <f t="shared" si="36"/>
        <v>2700</v>
      </c>
      <c r="BI19" s="155">
        <f t="shared" si="37"/>
        <v>0</v>
      </c>
      <c r="BJ19" s="156">
        <f t="shared" si="38"/>
        <v>0</v>
      </c>
      <c r="BK19" s="156">
        <f t="shared" si="39"/>
        <v>0</v>
      </c>
      <c r="BL19" s="156">
        <f t="shared" si="40"/>
        <v>0</v>
      </c>
      <c r="BM19" s="156">
        <f t="shared" si="18"/>
        <v>0</v>
      </c>
      <c r="BN19" s="157">
        <f t="shared" si="41"/>
        <v>2700</v>
      </c>
      <c r="BO19" s="156">
        <f t="shared" si="19"/>
        <v>2700</v>
      </c>
      <c r="BP19" s="156">
        <f t="shared" si="20"/>
        <v>0</v>
      </c>
      <c r="BQ19" s="156">
        <f t="shared" si="21"/>
        <v>0</v>
      </c>
      <c r="BR19" s="156">
        <f t="shared" si="22"/>
        <v>0</v>
      </c>
      <c r="BS19" s="228">
        <f t="shared" si="42"/>
        <v>0</v>
      </c>
      <c r="BT19" s="156">
        <f t="shared" si="23"/>
        <v>0</v>
      </c>
      <c r="BU19" s="157">
        <f t="shared" si="43"/>
        <v>2700</v>
      </c>
      <c r="BV19" s="157">
        <f t="shared" si="24"/>
        <v>0</v>
      </c>
      <c r="BW19" s="153"/>
      <c r="BX19" s="158">
        <f t="shared" si="25"/>
        <v>0</v>
      </c>
      <c r="BY19" s="285"/>
      <c r="CA19"/>
    </row>
    <row r="20" spans="1:79" ht="15.75" customHeight="1">
      <c r="C20" t="s">
        <v>65</v>
      </c>
      <c r="F20" s="137">
        <f>F19+1</f>
        <v>46478</v>
      </c>
      <c r="V20" s="58">
        <f t="shared" si="26"/>
        <v>46843</v>
      </c>
      <c r="W20" s="7">
        <v>4</v>
      </c>
      <c r="X20" s="282" t="str">
        <f t="shared" si="27"/>
        <v>維持管理・運営期間</v>
      </c>
      <c r="Y20" s="161">
        <f t="shared" si="0"/>
        <v>0</v>
      </c>
      <c r="Z20" s="159">
        <f t="shared" si="1"/>
        <v>0</v>
      </c>
      <c r="AA20" s="159">
        <f t="shared" si="2"/>
        <v>0</v>
      </c>
      <c r="AB20" s="159">
        <f t="shared" si="3"/>
        <v>0</v>
      </c>
      <c r="AC20" s="160">
        <f t="shared" si="28"/>
        <v>0</v>
      </c>
      <c r="AD20" s="161">
        <f t="shared" si="4"/>
        <v>0</v>
      </c>
      <c r="AE20" s="159">
        <f t="shared" si="5"/>
        <v>50</v>
      </c>
      <c r="AF20" s="159">
        <f t="shared" si="6"/>
        <v>10</v>
      </c>
      <c r="AG20" s="159">
        <f>IF(AND(SUM($AA$16:AA19)&gt;0,SUM($AG$16:AG19)&lt;$O$62,$W20&gt;=$O$65),$O$64,0)</f>
        <v>0</v>
      </c>
      <c r="AH20" s="228">
        <f>IF(SUM($AA$17:$AA19)&gt;0,($O$62-SUM($AG$17:$AG19))*$E$65,0)</f>
        <v>19.237500000000001</v>
      </c>
      <c r="AI20" s="160">
        <f t="shared" si="29"/>
        <v>60</v>
      </c>
      <c r="AJ20" s="156">
        <f t="shared" si="7"/>
        <v>-60</v>
      </c>
      <c r="AK20" s="158">
        <f>(SUM($P$31,$P$51)-SUM($AU$17:AU19))*$O$109</f>
        <v>0</v>
      </c>
      <c r="AL20" s="163"/>
      <c r="AM20" s="157">
        <f t="shared" si="8"/>
        <v>-52.387692585032397</v>
      </c>
      <c r="AN20" s="164"/>
      <c r="AO20" s="155">
        <f t="shared" si="9"/>
        <v>0</v>
      </c>
      <c r="AP20" s="156">
        <f t="shared" si="10"/>
        <v>0</v>
      </c>
      <c r="AQ20" s="156">
        <f t="shared" si="11"/>
        <v>0</v>
      </c>
      <c r="AR20" s="159">
        <f t="shared" si="12"/>
        <v>0</v>
      </c>
      <c r="AS20" s="160">
        <f t="shared" si="30"/>
        <v>0</v>
      </c>
      <c r="AT20" s="159">
        <f t="shared" si="13"/>
        <v>0</v>
      </c>
      <c r="AU20" s="159">
        <f t="shared" si="14"/>
        <v>0</v>
      </c>
      <c r="AV20" s="159">
        <f t="shared" si="15"/>
        <v>0</v>
      </c>
      <c r="AW20" s="159">
        <f t="shared" si="31"/>
        <v>45</v>
      </c>
      <c r="AX20" s="159">
        <f t="shared" si="32"/>
        <v>6</v>
      </c>
      <c r="AY20" s="159">
        <f t="shared" si="16"/>
        <v>0</v>
      </c>
      <c r="AZ20" s="159">
        <f>IF(AND(SUM($AQ$16:AQ19)&gt;0,SUM($AZ$16:AZ19)&lt;$P$62,$W20&gt;=$P$65),$P$64,0)</f>
        <v>0</v>
      </c>
      <c r="BA20" s="159">
        <f>IF(SUM($AQ$17:$AQ19)&gt;0,($P$62-SUM($AZ$17:$AZ19))*$F$65,0)</f>
        <v>18.224999999999998</v>
      </c>
      <c r="BB20" s="160">
        <f t="shared" si="33"/>
        <v>51</v>
      </c>
      <c r="BC20" s="156">
        <f t="shared" si="34"/>
        <v>-51</v>
      </c>
      <c r="BD20" s="157">
        <f t="shared" si="17"/>
        <v>-44.529538697277538</v>
      </c>
      <c r="BE20" s="48"/>
      <c r="BF20" s="46">
        <f t="shared" si="35"/>
        <v>0.87312820975053995</v>
      </c>
      <c r="BH20" s="155">
        <f t="shared" si="36"/>
        <v>0</v>
      </c>
      <c r="BI20" s="155">
        <f t="shared" si="37"/>
        <v>0</v>
      </c>
      <c r="BJ20" s="156">
        <f t="shared" si="38"/>
        <v>0</v>
      </c>
      <c r="BK20" s="156">
        <f t="shared" si="39"/>
        <v>45</v>
      </c>
      <c r="BL20" s="156">
        <f t="shared" si="40"/>
        <v>0</v>
      </c>
      <c r="BM20" s="156">
        <f t="shared" si="18"/>
        <v>0</v>
      </c>
      <c r="BN20" s="157">
        <f t="shared" si="41"/>
        <v>45</v>
      </c>
      <c r="BO20" s="156">
        <f t="shared" si="19"/>
        <v>0</v>
      </c>
      <c r="BP20" s="156">
        <f t="shared" si="20"/>
        <v>45</v>
      </c>
      <c r="BQ20" s="156">
        <f t="shared" si="21"/>
        <v>0</v>
      </c>
      <c r="BR20" s="156">
        <f t="shared" si="22"/>
        <v>0</v>
      </c>
      <c r="BS20" s="228">
        <f t="shared" si="42"/>
        <v>0</v>
      </c>
      <c r="BT20" s="156">
        <f t="shared" si="23"/>
        <v>0</v>
      </c>
      <c r="BU20" s="157">
        <f t="shared" si="43"/>
        <v>45</v>
      </c>
      <c r="BV20" s="157">
        <f t="shared" si="24"/>
        <v>0</v>
      </c>
      <c r="BW20" s="153"/>
      <c r="BX20" s="158">
        <f t="shared" si="25"/>
        <v>0</v>
      </c>
      <c r="BY20" s="286">
        <f>IF(BV20-BX20&gt;=0,0,1)</f>
        <v>0</v>
      </c>
      <c r="CA20"/>
    </row>
    <row r="21" spans="1:79" ht="15.75" customHeight="1">
      <c r="C21" t="s">
        <v>66</v>
      </c>
      <c r="F21" s="137">
        <f>EOMONTH(F20,12*F17-1)</f>
        <v>53782</v>
      </c>
      <c r="V21" s="58">
        <f t="shared" si="26"/>
        <v>47208</v>
      </c>
      <c r="W21" s="7">
        <v>5</v>
      </c>
      <c r="X21" s="282" t="str">
        <f t="shared" si="27"/>
        <v>維持管理・運営期間</v>
      </c>
      <c r="Y21" s="161">
        <f t="shared" si="0"/>
        <v>0</v>
      </c>
      <c r="Z21" s="159">
        <f t="shared" si="1"/>
        <v>0</v>
      </c>
      <c r="AA21" s="159">
        <f t="shared" si="2"/>
        <v>0</v>
      </c>
      <c r="AB21" s="159">
        <f t="shared" si="3"/>
        <v>0</v>
      </c>
      <c r="AC21" s="160">
        <f t="shared" si="28"/>
        <v>0</v>
      </c>
      <c r="AD21" s="161">
        <f t="shared" si="4"/>
        <v>0</v>
      </c>
      <c r="AE21" s="159">
        <f t="shared" si="5"/>
        <v>50</v>
      </c>
      <c r="AF21" s="159">
        <f t="shared" si="6"/>
        <v>10</v>
      </c>
      <c r="AG21" s="159">
        <f>IF(AND(SUM($AA$16:AA20)&gt;0,SUM($AG$16:AG20)&lt;$O$62,$W21&gt;=$O$65),$O$64,0)</f>
        <v>0</v>
      </c>
      <c r="AH21" s="228">
        <f>IF(SUM($AA$17:$AA20)&gt;0,($O$62-SUM($AG$17:$AG20))*$E$65,0)</f>
        <v>19.237500000000001</v>
      </c>
      <c r="AI21" s="160">
        <f t="shared" si="29"/>
        <v>60</v>
      </c>
      <c r="AJ21" s="156">
        <f t="shared" si="7"/>
        <v>-60</v>
      </c>
      <c r="AK21" s="158">
        <f>(SUM($P$31,$P$51)-SUM($AU$17:AU20))*$O$109</f>
        <v>0</v>
      </c>
      <c r="AL21" s="163"/>
      <c r="AM21" s="157">
        <f t="shared" si="8"/>
        <v>-50.640592155662056</v>
      </c>
      <c r="AN21" s="164"/>
      <c r="AO21" s="155">
        <f t="shared" si="9"/>
        <v>0</v>
      </c>
      <c r="AP21" s="156">
        <f t="shared" si="10"/>
        <v>0</v>
      </c>
      <c r="AQ21" s="156">
        <f t="shared" si="11"/>
        <v>0</v>
      </c>
      <c r="AR21" s="159">
        <f t="shared" si="12"/>
        <v>0</v>
      </c>
      <c r="AS21" s="160">
        <f t="shared" si="30"/>
        <v>0</v>
      </c>
      <c r="AT21" s="159">
        <f t="shared" si="13"/>
        <v>0</v>
      </c>
      <c r="AU21" s="159">
        <f t="shared" si="14"/>
        <v>0</v>
      </c>
      <c r="AV21" s="159">
        <f t="shared" si="15"/>
        <v>0</v>
      </c>
      <c r="AW21" s="159">
        <f t="shared" si="31"/>
        <v>45</v>
      </c>
      <c r="AX21" s="159">
        <f t="shared" si="32"/>
        <v>6</v>
      </c>
      <c r="AY21" s="159">
        <f t="shared" si="16"/>
        <v>0</v>
      </c>
      <c r="AZ21" s="159">
        <f>IF(AND(SUM($AQ$16:AQ20)&gt;0,SUM($AZ$16:AZ20)&lt;$P$62,$W21&gt;=$P$65),$P$64,0)</f>
        <v>0</v>
      </c>
      <c r="BA21" s="159">
        <f>IF(SUM($AQ$17:$AQ20)&gt;0,($P$62-SUM($AZ$17:$AZ20))*$F$65,0)</f>
        <v>18.224999999999998</v>
      </c>
      <c r="BB21" s="160">
        <f t="shared" si="33"/>
        <v>51</v>
      </c>
      <c r="BC21" s="156">
        <f t="shared" si="34"/>
        <v>-51</v>
      </c>
      <c r="BD21" s="157">
        <f t="shared" si="17"/>
        <v>-43.04450333231275</v>
      </c>
      <c r="BE21" s="48"/>
      <c r="BF21" s="46">
        <f t="shared" si="35"/>
        <v>0.84400986926103427</v>
      </c>
      <c r="BH21" s="155">
        <f t="shared" si="36"/>
        <v>0</v>
      </c>
      <c r="BI21" s="155">
        <f t="shared" si="37"/>
        <v>0</v>
      </c>
      <c r="BJ21" s="156">
        <f t="shared" si="38"/>
        <v>0</v>
      </c>
      <c r="BK21" s="156">
        <f t="shared" si="39"/>
        <v>45</v>
      </c>
      <c r="BL21" s="156">
        <f t="shared" si="40"/>
        <v>0</v>
      </c>
      <c r="BM21" s="156">
        <f t="shared" si="18"/>
        <v>0</v>
      </c>
      <c r="BN21" s="157">
        <f t="shared" si="41"/>
        <v>45</v>
      </c>
      <c r="BO21" s="156">
        <f t="shared" si="19"/>
        <v>0</v>
      </c>
      <c r="BP21" s="156">
        <f t="shared" si="20"/>
        <v>45</v>
      </c>
      <c r="BQ21" s="156">
        <f t="shared" si="21"/>
        <v>0</v>
      </c>
      <c r="BR21" s="156">
        <f t="shared" si="22"/>
        <v>0</v>
      </c>
      <c r="BS21" s="228">
        <f t="shared" si="42"/>
        <v>0</v>
      </c>
      <c r="BT21" s="156">
        <f t="shared" si="23"/>
        <v>0</v>
      </c>
      <c r="BU21" s="157">
        <f t="shared" si="43"/>
        <v>45</v>
      </c>
      <c r="BV21" s="157">
        <f t="shared" si="24"/>
        <v>0</v>
      </c>
      <c r="BW21" s="153"/>
      <c r="BX21" s="158">
        <f t="shared" si="25"/>
        <v>0</v>
      </c>
      <c r="BY21" s="286">
        <f t="shared" ref="BY21:BY56" si="44">IF(BV21-BX21&gt;=0,0,1)</f>
        <v>0</v>
      </c>
      <c r="CA21"/>
    </row>
    <row r="22" spans="1:79" ht="15.75" customHeight="1">
      <c r="B22" s="56" t="s">
        <v>179</v>
      </c>
      <c r="C22" s="19"/>
      <c r="I22" s="72"/>
      <c r="J22" s="4" t="s">
        <v>179</v>
      </c>
      <c r="N22" s="19" t="s">
        <v>6</v>
      </c>
      <c r="O22" s="36">
        <f>SUM(F23:F24)</f>
        <v>3.4499999999999996E-2</v>
      </c>
      <c r="V22" s="58">
        <f t="shared" si="26"/>
        <v>47573</v>
      </c>
      <c r="W22" s="7">
        <v>6</v>
      </c>
      <c r="X22" s="282" t="str">
        <f t="shared" si="27"/>
        <v>維持管理・運営期間</v>
      </c>
      <c r="Y22" s="161">
        <f t="shared" si="0"/>
        <v>0</v>
      </c>
      <c r="Z22" s="159">
        <f t="shared" si="1"/>
        <v>0</v>
      </c>
      <c r="AA22" s="159">
        <f t="shared" si="2"/>
        <v>0</v>
      </c>
      <c r="AB22" s="159">
        <f t="shared" si="3"/>
        <v>0</v>
      </c>
      <c r="AC22" s="160">
        <f t="shared" si="28"/>
        <v>0</v>
      </c>
      <c r="AD22" s="161">
        <f t="shared" si="4"/>
        <v>0</v>
      </c>
      <c r="AE22" s="159">
        <f t="shared" si="5"/>
        <v>50</v>
      </c>
      <c r="AF22" s="159">
        <f t="shared" si="6"/>
        <v>10</v>
      </c>
      <c r="AG22" s="159">
        <f>IF(AND(SUM($AA$16:AA21)&gt;0,SUM($AG$16:AG21)&lt;$O$62,$W22&gt;=$O$65),$O$64,0)</f>
        <v>0</v>
      </c>
      <c r="AH22" s="228">
        <f>IF(SUM($AA$17:$AA21)&gt;0,($O$62-SUM($AG$17:$AG21))*$E$65,0)</f>
        <v>19.237500000000001</v>
      </c>
      <c r="AI22" s="160">
        <f t="shared" si="29"/>
        <v>60</v>
      </c>
      <c r="AJ22" s="156">
        <f t="shared" si="7"/>
        <v>-60</v>
      </c>
      <c r="AK22" s="158">
        <f>(SUM($P$31,$P$51)-SUM($AU$17:AU21))*$O$109</f>
        <v>0</v>
      </c>
      <c r="AL22" s="163"/>
      <c r="AM22" s="157">
        <f t="shared" si="8"/>
        <v>-48.951756554530746</v>
      </c>
      <c r="AN22" s="164"/>
      <c r="AO22" s="155">
        <f t="shared" si="9"/>
        <v>0</v>
      </c>
      <c r="AP22" s="156">
        <f t="shared" si="10"/>
        <v>0</v>
      </c>
      <c r="AQ22" s="156">
        <f t="shared" si="11"/>
        <v>0</v>
      </c>
      <c r="AR22" s="159">
        <f t="shared" si="12"/>
        <v>0</v>
      </c>
      <c r="AS22" s="160">
        <f t="shared" si="30"/>
        <v>0</v>
      </c>
      <c r="AT22" s="159">
        <f t="shared" si="13"/>
        <v>0</v>
      </c>
      <c r="AU22" s="159">
        <f t="shared" si="14"/>
        <v>0</v>
      </c>
      <c r="AV22" s="159">
        <f t="shared" si="15"/>
        <v>0</v>
      </c>
      <c r="AW22" s="159">
        <f t="shared" si="31"/>
        <v>45</v>
      </c>
      <c r="AX22" s="159">
        <f t="shared" si="32"/>
        <v>6</v>
      </c>
      <c r="AY22" s="159">
        <f t="shared" si="16"/>
        <v>0</v>
      </c>
      <c r="AZ22" s="159">
        <f>IF(AND(SUM($AQ$16:AQ21)&gt;0,SUM($AZ$16:AZ21)&lt;$P$62,$W22&gt;=$P$65),$P$64,0)</f>
        <v>0</v>
      </c>
      <c r="BA22" s="159">
        <f>IF(SUM($AQ$17:$AQ21)&gt;0,($P$62-SUM($AZ$17:$AZ21))*$F$65,0)</f>
        <v>18.224999999999998</v>
      </c>
      <c r="BB22" s="160">
        <f t="shared" si="33"/>
        <v>51</v>
      </c>
      <c r="BC22" s="156">
        <f t="shared" si="34"/>
        <v>-51</v>
      </c>
      <c r="BD22" s="157">
        <f t="shared" si="17"/>
        <v>-41.608993071351136</v>
      </c>
      <c r="BE22" s="48"/>
      <c r="BF22" s="46">
        <f t="shared" si="35"/>
        <v>0.81586260924217913</v>
      </c>
      <c r="BH22" s="155">
        <f t="shared" si="36"/>
        <v>0</v>
      </c>
      <c r="BI22" s="155">
        <f t="shared" si="37"/>
        <v>0</v>
      </c>
      <c r="BJ22" s="156">
        <f t="shared" si="38"/>
        <v>0</v>
      </c>
      <c r="BK22" s="156">
        <f t="shared" si="39"/>
        <v>45</v>
      </c>
      <c r="BL22" s="156">
        <f t="shared" si="40"/>
        <v>0</v>
      </c>
      <c r="BM22" s="156">
        <f t="shared" si="18"/>
        <v>0</v>
      </c>
      <c r="BN22" s="157">
        <f t="shared" si="41"/>
        <v>45</v>
      </c>
      <c r="BO22" s="156">
        <f t="shared" si="19"/>
        <v>0</v>
      </c>
      <c r="BP22" s="156">
        <f t="shared" si="20"/>
        <v>45</v>
      </c>
      <c r="BQ22" s="156">
        <f t="shared" si="21"/>
        <v>0</v>
      </c>
      <c r="BR22" s="156">
        <f t="shared" si="22"/>
        <v>0</v>
      </c>
      <c r="BS22" s="228">
        <f t="shared" si="42"/>
        <v>0</v>
      </c>
      <c r="BT22" s="156">
        <f t="shared" si="23"/>
        <v>0</v>
      </c>
      <c r="BU22" s="157">
        <f t="shared" si="43"/>
        <v>45</v>
      </c>
      <c r="BV22" s="157">
        <f t="shared" si="24"/>
        <v>0</v>
      </c>
      <c r="BW22" s="153"/>
      <c r="BX22" s="158">
        <f t="shared" si="25"/>
        <v>0</v>
      </c>
      <c r="BY22" s="286">
        <f t="shared" si="44"/>
        <v>0</v>
      </c>
      <c r="CA22"/>
    </row>
    <row r="23" spans="1:79" ht="15.75" customHeight="1">
      <c r="C23" t="s">
        <v>180</v>
      </c>
      <c r="F23" s="15">
        <v>1.4500000000000001E-2</v>
      </c>
      <c r="H23" t="s">
        <v>178</v>
      </c>
      <c r="V23" s="58">
        <f t="shared" si="26"/>
        <v>47938</v>
      </c>
      <c r="W23" s="7">
        <v>7</v>
      </c>
      <c r="X23" s="282" t="str">
        <f t="shared" si="27"/>
        <v>維持管理・運営期間</v>
      </c>
      <c r="Y23" s="161">
        <f t="shared" si="0"/>
        <v>0</v>
      </c>
      <c r="Z23" s="159">
        <f t="shared" si="1"/>
        <v>0</v>
      </c>
      <c r="AA23" s="159">
        <f t="shared" si="2"/>
        <v>0</v>
      </c>
      <c r="AB23" s="159">
        <f t="shared" si="3"/>
        <v>0</v>
      </c>
      <c r="AC23" s="160">
        <f t="shared" si="28"/>
        <v>0</v>
      </c>
      <c r="AD23" s="161">
        <f t="shared" si="4"/>
        <v>0</v>
      </c>
      <c r="AE23" s="159">
        <f t="shared" si="5"/>
        <v>50</v>
      </c>
      <c r="AF23" s="159">
        <f t="shared" si="6"/>
        <v>10</v>
      </c>
      <c r="AG23" s="159">
        <f>IF(AND(SUM($AA$16:AA22)&gt;0,SUM($AG$16:AG22)&lt;$O$62,$W23&gt;=$O$65),$O$64,0)</f>
        <v>64.125</v>
      </c>
      <c r="AH23" s="228">
        <f>IF(SUM($AA$17:$AA22)&gt;0,($O$62-SUM($AG$17:$AG22))*$E$65,0)</f>
        <v>19.237500000000001</v>
      </c>
      <c r="AI23" s="160">
        <f t="shared" si="29"/>
        <v>60</v>
      </c>
      <c r="AJ23" s="156">
        <f t="shared" si="7"/>
        <v>-60</v>
      </c>
      <c r="AK23" s="158">
        <f>(SUM($P$31,$P$51)-SUM($AU$17:AU22))*$O$109</f>
        <v>0</v>
      </c>
      <c r="AL23" s="163"/>
      <c r="AM23" s="157">
        <f t="shared" si="8"/>
        <v>-47.319242682001693</v>
      </c>
      <c r="AN23" s="164"/>
      <c r="AO23" s="155">
        <f t="shared" si="9"/>
        <v>0</v>
      </c>
      <c r="AP23" s="156">
        <f t="shared" si="10"/>
        <v>0</v>
      </c>
      <c r="AQ23" s="156">
        <f t="shared" si="11"/>
        <v>0</v>
      </c>
      <c r="AR23" s="159">
        <f t="shared" si="12"/>
        <v>0</v>
      </c>
      <c r="AS23" s="160">
        <f t="shared" si="30"/>
        <v>0</v>
      </c>
      <c r="AT23" s="159">
        <f t="shared" si="13"/>
        <v>0</v>
      </c>
      <c r="AU23" s="159">
        <f t="shared" si="14"/>
        <v>0</v>
      </c>
      <c r="AV23" s="159">
        <f t="shared" si="15"/>
        <v>0</v>
      </c>
      <c r="AW23" s="159">
        <f t="shared" si="31"/>
        <v>45</v>
      </c>
      <c r="AX23" s="159">
        <f t="shared" si="32"/>
        <v>6</v>
      </c>
      <c r="AY23" s="159">
        <f t="shared" si="16"/>
        <v>0</v>
      </c>
      <c r="AZ23" s="159">
        <f>IF(AND(SUM($AQ$16:AQ22)&gt;0,SUM($AZ$16:AZ22)&lt;$P$62,$W23&gt;=$P$65),$P$64,0)</f>
        <v>60.75</v>
      </c>
      <c r="BA23" s="159">
        <f>IF(SUM($AQ$17:$AQ22)&gt;0,($P$62-SUM($AZ$17:$AZ22))*$F$65,0)</f>
        <v>18.224999999999998</v>
      </c>
      <c r="BB23" s="160">
        <f t="shared" si="33"/>
        <v>51</v>
      </c>
      <c r="BC23" s="156">
        <f t="shared" si="34"/>
        <v>-51</v>
      </c>
      <c r="BD23" s="157">
        <f t="shared" si="17"/>
        <v>-40.221356279701439</v>
      </c>
      <c r="BE23" s="48"/>
      <c r="BF23" s="46">
        <f t="shared" si="35"/>
        <v>0.7886540447000282</v>
      </c>
      <c r="BH23" s="155">
        <f t="shared" si="36"/>
        <v>0</v>
      </c>
      <c r="BI23" s="155">
        <f t="shared" si="37"/>
        <v>0</v>
      </c>
      <c r="BJ23" s="156">
        <f t="shared" si="38"/>
        <v>0</v>
      </c>
      <c r="BK23" s="156">
        <f t="shared" si="39"/>
        <v>45</v>
      </c>
      <c r="BL23" s="156">
        <f t="shared" si="40"/>
        <v>0</v>
      </c>
      <c r="BM23" s="156">
        <f t="shared" si="18"/>
        <v>0</v>
      </c>
      <c r="BN23" s="157">
        <f t="shared" si="41"/>
        <v>45</v>
      </c>
      <c r="BO23" s="156">
        <f t="shared" si="19"/>
        <v>0</v>
      </c>
      <c r="BP23" s="156">
        <f t="shared" si="20"/>
        <v>45</v>
      </c>
      <c r="BQ23" s="156">
        <f t="shared" si="21"/>
        <v>0</v>
      </c>
      <c r="BR23" s="156">
        <f t="shared" si="22"/>
        <v>0</v>
      </c>
      <c r="BS23" s="228">
        <f t="shared" si="42"/>
        <v>0</v>
      </c>
      <c r="BT23" s="156">
        <f t="shared" si="23"/>
        <v>0</v>
      </c>
      <c r="BU23" s="157">
        <f t="shared" si="43"/>
        <v>45</v>
      </c>
      <c r="BV23" s="157">
        <f t="shared" si="24"/>
        <v>0</v>
      </c>
      <c r="BW23" s="153"/>
      <c r="BX23" s="158">
        <f t="shared" si="25"/>
        <v>0</v>
      </c>
      <c r="BY23" s="286">
        <f t="shared" si="44"/>
        <v>0</v>
      </c>
      <c r="CA23"/>
    </row>
    <row r="24" spans="1:79" ht="15.75" customHeight="1">
      <c r="C24" t="s">
        <v>26</v>
      </c>
      <c r="F24" s="198">
        <f>事業費用概算!J34</f>
        <v>1.9999999999999997E-2</v>
      </c>
      <c r="V24" s="58">
        <f t="shared" si="26"/>
        <v>48304</v>
      </c>
      <c r="W24" s="7">
        <v>8</v>
      </c>
      <c r="X24" s="282" t="str">
        <f t="shared" si="27"/>
        <v>維持管理・運営期間</v>
      </c>
      <c r="Y24" s="161">
        <f t="shared" si="0"/>
        <v>0</v>
      </c>
      <c r="Z24" s="159">
        <f t="shared" si="1"/>
        <v>0</v>
      </c>
      <c r="AA24" s="159">
        <f t="shared" si="2"/>
        <v>0</v>
      </c>
      <c r="AB24" s="159">
        <f t="shared" si="3"/>
        <v>0</v>
      </c>
      <c r="AC24" s="160">
        <f t="shared" si="28"/>
        <v>0</v>
      </c>
      <c r="AD24" s="161">
        <f t="shared" si="4"/>
        <v>0</v>
      </c>
      <c r="AE24" s="159">
        <f t="shared" si="5"/>
        <v>50</v>
      </c>
      <c r="AF24" s="159">
        <f t="shared" si="6"/>
        <v>10</v>
      </c>
      <c r="AG24" s="159">
        <f>IF(AND(SUM($AA$16:AA23)&gt;0,SUM($AG$16:AG23)&lt;$O$62,$W24&gt;=$O$65),$O$64,0)</f>
        <v>64.125</v>
      </c>
      <c r="AH24" s="228">
        <f>IF(SUM($AA$17:$AA23)&gt;0,($O$62-SUM($AG$17:$AG23))*$E$65,0)</f>
        <v>18.275624999999998</v>
      </c>
      <c r="AI24" s="160">
        <f t="shared" si="29"/>
        <v>60</v>
      </c>
      <c r="AJ24" s="156">
        <f t="shared" si="7"/>
        <v>-60</v>
      </c>
      <c r="AK24" s="158">
        <f>(SUM($P$31,$P$51)-SUM($AU$17:AU23))*$O$109</f>
        <v>0</v>
      </c>
      <c r="AL24" s="163"/>
      <c r="AM24" s="157">
        <f t="shared" si="8"/>
        <v>-45.741172239730979</v>
      </c>
      <c r="AN24" s="164"/>
      <c r="AO24" s="155">
        <f t="shared" si="9"/>
        <v>0</v>
      </c>
      <c r="AP24" s="156">
        <f t="shared" si="10"/>
        <v>0</v>
      </c>
      <c r="AQ24" s="156">
        <f t="shared" si="11"/>
        <v>0</v>
      </c>
      <c r="AR24" s="159">
        <f t="shared" si="12"/>
        <v>0</v>
      </c>
      <c r="AS24" s="160">
        <f t="shared" si="30"/>
        <v>0</v>
      </c>
      <c r="AT24" s="159">
        <f t="shared" si="13"/>
        <v>0</v>
      </c>
      <c r="AU24" s="159">
        <f t="shared" si="14"/>
        <v>0</v>
      </c>
      <c r="AV24" s="159">
        <f t="shared" si="15"/>
        <v>0</v>
      </c>
      <c r="AW24" s="159">
        <f t="shared" si="31"/>
        <v>45</v>
      </c>
      <c r="AX24" s="159">
        <f t="shared" si="32"/>
        <v>6</v>
      </c>
      <c r="AY24" s="159">
        <f t="shared" si="16"/>
        <v>0</v>
      </c>
      <c r="AZ24" s="159">
        <f>IF(AND(SUM($AQ$16:AQ23)&gt;0,SUM($AZ$16:AZ23)&lt;$P$62,$W24&gt;=$P$65),$P$64,0)</f>
        <v>60.75</v>
      </c>
      <c r="BA24" s="159">
        <f>IF(SUM($AQ$17:$AQ23)&gt;0,($P$62-SUM($AZ$17:$AZ23))*$F$65,0)</f>
        <v>17.313749999999999</v>
      </c>
      <c r="BB24" s="160">
        <f t="shared" si="33"/>
        <v>51</v>
      </c>
      <c r="BC24" s="156">
        <f t="shared" si="34"/>
        <v>-51</v>
      </c>
      <c r="BD24" s="157">
        <f t="shared" si="17"/>
        <v>-38.879996403771329</v>
      </c>
      <c r="BE24" s="48"/>
      <c r="BF24" s="46">
        <f t="shared" si="35"/>
        <v>0.76235287066218294</v>
      </c>
      <c r="BH24" s="155">
        <f t="shared" si="36"/>
        <v>0</v>
      </c>
      <c r="BI24" s="155">
        <f t="shared" si="37"/>
        <v>0</v>
      </c>
      <c r="BJ24" s="156">
        <f t="shared" si="38"/>
        <v>0</v>
      </c>
      <c r="BK24" s="156">
        <f t="shared" si="39"/>
        <v>45</v>
      </c>
      <c r="BL24" s="156">
        <f t="shared" si="40"/>
        <v>0</v>
      </c>
      <c r="BM24" s="156">
        <f t="shared" si="18"/>
        <v>0</v>
      </c>
      <c r="BN24" s="157">
        <f t="shared" si="41"/>
        <v>45</v>
      </c>
      <c r="BO24" s="156">
        <f t="shared" si="19"/>
        <v>0</v>
      </c>
      <c r="BP24" s="156">
        <f t="shared" si="20"/>
        <v>45</v>
      </c>
      <c r="BQ24" s="156">
        <f t="shared" si="21"/>
        <v>0</v>
      </c>
      <c r="BR24" s="156">
        <f t="shared" si="22"/>
        <v>0</v>
      </c>
      <c r="BS24" s="228">
        <f t="shared" si="42"/>
        <v>0</v>
      </c>
      <c r="BT24" s="156">
        <f t="shared" si="23"/>
        <v>0</v>
      </c>
      <c r="BU24" s="157">
        <f t="shared" si="43"/>
        <v>45</v>
      </c>
      <c r="BV24" s="157">
        <f t="shared" si="24"/>
        <v>0</v>
      </c>
      <c r="BW24" s="153"/>
      <c r="BX24" s="158">
        <f t="shared" si="25"/>
        <v>0</v>
      </c>
      <c r="BY24" s="286">
        <f t="shared" si="44"/>
        <v>0</v>
      </c>
      <c r="CA24"/>
    </row>
    <row r="25" spans="1:79" ht="15.75" customHeight="1">
      <c r="V25" s="58">
        <f t="shared" si="26"/>
        <v>48669</v>
      </c>
      <c r="W25" s="7">
        <v>9</v>
      </c>
      <c r="X25" s="282" t="str">
        <f t="shared" si="27"/>
        <v>維持管理・運営期間</v>
      </c>
      <c r="Y25" s="161">
        <f t="shared" si="0"/>
        <v>0</v>
      </c>
      <c r="Z25" s="159">
        <f t="shared" si="1"/>
        <v>0</v>
      </c>
      <c r="AA25" s="159">
        <f t="shared" si="2"/>
        <v>0</v>
      </c>
      <c r="AB25" s="159">
        <f t="shared" si="3"/>
        <v>0</v>
      </c>
      <c r="AC25" s="160">
        <f t="shared" si="28"/>
        <v>0</v>
      </c>
      <c r="AD25" s="161">
        <f t="shared" si="4"/>
        <v>0</v>
      </c>
      <c r="AE25" s="159">
        <f t="shared" si="5"/>
        <v>50</v>
      </c>
      <c r="AF25" s="159">
        <f t="shared" si="6"/>
        <v>10</v>
      </c>
      <c r="AG25" s="159">
        <f>IF(AND(SUM($AA$16:AA24)&gt;0,SUM($AG$16:AG24)&lt;$O$62,$W25&gt;=$O$65),$O$64,0)</f>
        <v>64.125</v>
      </c>
      <c r="AH25" s="228">
        <f>IF(SUM($AA$17:$AA24)&gt;0,($O$62-SUM($AG$17:$AG24))*$E$65,0)</f>
        <v>17.313749999999999</v>
      </c>
      <c r="AI25" s="160">
        <f t="shared" si="29"/>
        <v>60</v>
      </c>
      <c r="AJ25" s="156">
        <f t="shared" si="7"/>
        <v>-60</v>
      </c>
      <c r="AK25" s="158">
        <f>(SUM($P$31,$P$51)-SUM($AU$17:AU24))*$O$109</f>
        <v>0</v>
      </c>
      <c r="AL25" s="163"/>
      <c r="AM25" s="157">
        <f t="shared" si="8"/>
        <v>-44.215729569580446</v>
      </c>
      <c r="AN25" s="164"/>
      <c r="AO25" s="155">
        <f t="shared" si="9"/>
        <v>0</v>
      </c>
      <c r="AP25" s="156">
        <f t="shared" si="10"/>
        <v>0</v>
      </c>
      <c r="AQ25" s="156">
        <f t="shared" si="11"/>
        <v>0</v>
      </c>
      <c r="AR25" s="159">
        <f t="shared" si="12"/>
        <v>0</v>
      </c>
      <c r="AS25" s="160">
        <f t="shared" si="30"/>
        <v>0</v>
      </c>
      <c r="AT25" s="159">
        <f t="shared" si="13"/>
        <v>0</v>
      </c>
      <c r="AU25" s="159">
        <f t="shared" si="14"/>
        <v>0</v>
      </c>
      <c r="AV25" s="159">
        <f t="shared" si="15"/>
        <v>0</v>
      </c>
      <c r="AW25" s="159">
        <f t="shared" si="31"/>
        <v>45</v>
      </c>
      <c r="AX25" s="159">
        <f t="shared" si="32"/>
        <v>6</v>
      </c>
      <c r="AY25" s="159">
        <f t="shared" si="16"/>
        <v>0</v>
      </c>
      <c r="AZ25" s="159">
        <f>IF(AND(SUM($AQ$16:AQ24)&gt;0,SUM($AZ$16:AZ24)&lt;$P$62,$W25&gt;=$P$65),$P$64,0)</f>
        <v>60.75</v>
      </c>
      <c r="BA25" s="159">
        <f>IF(SUM($AQ$17:$AQ24)&gt;0,($P$62-SUM($AZ$17:$AZ24))*$F$65,0)</f>
        <v>16.4025</v>
      </c>
      <c r="BB25" s="160">
        <f t="shared" si="33"/>
        <v>51</v>
      </c>
      <c r="BC25" s="156">
        <f t="shared" si="34"/>
        <v>-51</v>
      </c>
      <c r="BD25" s="157">
        <f t="shared" si="17"/>
        <v>-37.583370134143379</v>
      </c>
      <c r="BE25" s="48"/>
      <c r="BF25" s="46">
        <f t="shared" si="35"/>
        <v>0.73692882615967414</v>
      </c>
      <c r="BH25" s="155">
        <f t="shared" si="36"/>
        <v>0</v>
      </c>
      <c r="BI25" s="155">
        <f t="shared" si="37"/>
        <v>0</v>
      </c>
      <c r="BJ25" s="156">
        <f t="shared" si="38"/>
        <v>0</v>
      </c>
      <c r="BK25" s="156">
        <f t="shared" si="39"/>
        <v>45</v>
      </c>
      <c r="BL25" s="156">
        <f t="shared" si="40"/>
        <v>0</v>
      </c>
      <c r="BM25" s="156">
        <f t="shared" si="18"/>
        <v>0</v>
      </c>
      <c r="BN25" s="157">
        <f t="shared" si="41"/>
        <v>45</v>
      </c>
      <c r="BO25" s="156">
        <f t="shared" si="19"/>
        <v>0</v>
      </c>
      <c r="BP25" s="156">
        <f t="shared" si="20"/>
        <v>45</v>
      </c>
      <c r="BQ25" s="156">
        <f t="shared" si="21"/>
        <v>0</v>
      </c>
      <c r="BR25" s="156">
        <f t="shared" si="22"/>
        <v>0</v>
      </c>
      <c r="BS25" s="228">
        <f t="shared" si="42"/>
        <v>0</v>
      </c>
      <c r="BT25" s="156">
        <f t="shared" si="23"/>
        <v>0</v>
      </c>
      <c r="BU25" s="157">
        <f t="shared" si="43"/>
        <v>45</v>
      </c>
      <c r="BV25" s="157">
        <f t="shared" si="24"/>
        <v>0</v>
      </c>
      <c r="BW25" s="153"/>
      <c r="BX25" s="158">
        <f t="shared" si="25"/>
        <v>0</v>
      </c>
      <c r="BY25" s="286">
        <f t="shared" si="44"/>
        <v>0</v>
      </c>
      <c r="CA25"/>
    </row>
    <row r="26" spans="1:79" ht="13.5" customHeight="1">
      <c r="V26" s="58">
        <f t="shared" si="26"/>
        <v>49034</v>
      </c>
      <c r="W26" s="7">
        <v>10</v>
      </c>
      <c r="X26" s="282" t="str">
        <f t="shared" si="27"/>
        <v>維持管理・運営期間</v>
      </c>
      <c r="Y26" s="161">
        <f t="shared" si="0"/>
        <v>0</v>
      </c>
      <c r="Z26" s="159">
        <f t="shared" si="1"/>
        <v>0</v>
      </c>
      <c r="AA26" s="159">
        <f t="shared" si="2"/>
        <v>0</v>
      </c>
      <c r="AB26" s="159">
        <f t="shared" si="3"/>
        <v>0</v>
      </c>
      <c r="AC26" s="160">
        <f t="shared" si="28"/>
        <v>0</v>
      </c>
      <c r="AD26" s="161">
        <f t="shared" si="4"/>
        <v>0</v>
      </c>
      <c r="AE26" s="159">
        <f t="shared" si="5"/>
        <v>50</v>
      </c>
      <c r="AF26" s="159">
        <f t="shared" si="6"/>
        <v>10</v>
      </c>
      <c r="AG26" s="159">
        <f>IF(AND(SUM($AA$16:AA25)&gt;0,SUM($AG$16:AG25)&lt;$O$62,$W26&gt;=$O$65),$O$64,0)</f>
        <v>64.125</v>
      </c>
      <c r="AH26" s="228">
        <f>IF(SUM($AA$17:$AA25)&gt;0,($O$62-SUM($AG$17:$AG25))*$E$65,0)</f>
        <v>16.351875</v>
      </c>
      <c r="AI26" s="160">
        <f t="shared" si="29"/>
        <v>60</v>
      </c>
      <c r="AJ26" s="156">
        <f t="shared" si="7"/>
        <v>-60</v>
      </c>
      <c r="AK26" s="158">
        <f>(SUM($P$31,$P$51)-SUM($AU$17:AU25))*$O$109</f>
        <v>0</v>
      </c>
      <c r="AL26" s="163"/>
      <c r="AM26" s="157">
        <f t="shared" si="8"/>
        <v>-42.741159564601695</v>
      </c>
      <c r="AN26" s="164"/>
      <c r="AO26" s="155">
        <f t="shared" si="9"/>
        <v>0</v>
      </c>
      <c r="AP26" s="156">
        <f t="shared" si="10"/>
        <v>0</v>
      </c>
      <c r="AQ26" s="156">
        <f t="shared" si="11"/>
        <v>0</v>
      </c>
      <c r="AR26" s="159">
        <f t="shared" si="12"/>
        <v>0</v>
      </c>
      <c r="AS26" s="160">
        <f t="shared" si="30"/>
        <v>0</v>
      </c>
      <c r="AT26" s="159">
        <f t="shared" si="13"/>
        <v>0</v>
      </c>
      <c r="AU26" s="159">
        <f t="shared" si="14"/>
        <v>0</v>
      </c>
      <c r="AV26" s="159">
        <f t="shared" si="15"/>
        <v>0</v>
      </c>
      <c r="AW26" s="159">
        <f t="shared" si="31"/>
        <v>45</v>
      </c>
      <c r="AX26" s="159">
        <f t="shared" si="32"/>
        <v>6</v>
      </c>
      <c r="AY26" s="159">
        <f t="shared" si="16"/>
        <v>0</v>
      </c>
      <c r="AZ26" s="159">
        <f>IF(AND(SUM($AQ$16:AQ25)&gt;0,SUM($AZ$16:AZ25)&lt;$P$62,$W26&gt;=$P$65),$P$64,0)</f>
        <v>60.75</v>
      </c>
      <c r="BA26" s="159">
        <f>IF(SUM($AQ$17:$AQ25)&gt;0,($P$62-SUM($AZ$17:$AZ25))*$F$65,0)</f>
        <v>15.491249999999999</v>
      </c>
      <c r="BB26" s="160">
        <f t="shared" si="33"/>
        <v>51</v>
      </c>
      <c r="BC26" s="156">
        <f t="shared" si="34"/>
        <v>-51</v>
      </c>
      <c r="BD26" s="157">
        <f t="shared" si="17"/>
        <v>-36.329985629911441</v>
      </c>
      <c r="BE26" s="48"/>
      <c r="BF26" s="46">
        <f t="shared" si="35"/>
        <v>0.71235265941002823</v>
      </c>
      <c r="BH26" s="155">
        <f t="shared" si="36"/>
        <v>0</v>
      </c>
      <c r="BI26" s="155">
        <f t="shared" si="37"/>
        <v>0</v>
      </c>
      <c r="BJ26" s="156">
        <f t="shared" si="38"/>
        <v>0</v>
      </c>
      <c r="BK26" s="156">
        <f t="shared" si="39"/>
        <v>45</v>
      </c>
      <c r="BL26" s="156">
        <f t="shared" si="40"/>
        <v>0</v>
      </c>
      <c r="BM26" s="156">
        <f t="shared" si="18"/>
        <v>0</v>
      </c>
      <c r="BN26" s="157">
        <f t="shared" si="41"/>
        <v>45</v>
      </c>
      <c r="BO26" s="156">
        <f t="shared" si="19"/>
        <v>0</v>
      </c>
      <c r="BP26" s="156">
        <f t="shared" si="20"/>
        <v>45</v>
      </c>
      <c r="BQ26" s="156">
        <f t="shared" si="21"/>
        <v>0</v>
      </c>
      <c r="BR26" s="156">
        <f t="shared" si="22"/>
        <v>0</v>
      </c>
      <c r="BS26" s="228">
        <f t="shared" si="42"/>
        <v>0</v>
      </c>
      <c r="BT26" s="156">
        <f t="shared" si="23"/>
        <v>0</v>
      </c>
      <c r="BU26" s="157">
        <f t="shared" si="43"/>
        <v>45</v>
      </c>
      <c r="BV26" s="157">
        <f t="shared" si="24"/>
        <v>0</v>
      </c>
      <c r="BW26" s="153"/>
      <c r="BX26" s="158">
        <f t="shared" si="25"/>
        <v>0</v>
      </c>
      <c r="BY26" s="286">
        <f t="shared" si="44"/>
        <v>0</v>
      </c>
      <c r="CA26"/>
    </row>
    <row r="27" spans="1:79" ht="15.75" customHeight="1">
      <c r="A27" s="4" t="s">
        <v>118</v>
      </c>
      <c r="H27" s="72"/>
      <c r="I27" s="72"/>
      <c r="J27" s="4" t="s">
        <v>122</v>
      </c>
      <c r="V27" s="58">
        <f t="shared" si="26"/>
        <v>49399</v>
      </c>
      <c r="W27" s="7">
        <v>11</v>
      </c>
      <c r="X27" s="282" t="str">
        <f t="shared" si="27"/>
        <v>維持管理・運営期間</v>
      </c>
      <c r="Y27" s="161">
        <f t="shared" si="0"/>
        <v>0</v>
      </c>
      <c r="Z27" s="159">
        <f t="shared" si="1"/>
        <v>0</v>
      </c>
      <c r="AA27" s="159">
        <f t="shared" si="2"/>
        <v>0</v>
      </c>
      <c r="AB27" s="159">
        <f t="shared" si="3"/>
        <v>0</v>
      </c>
      <c r="AC27" s="160">
        <f t="shared" si="28"/>
        <v>0</v>
      </c>
      <c r="AD27" s="161">
        <f t="shared" si="4"/>
        <v>0</v>
      </c>
      <c r="AE27" s="159">
        <f t="shared" si="5"/>
        <v>50</v>
      </c>
      <c r="AF27" s="159">
        <f t="shared" si="6"/>
        <v>10</v>
      </c>
      <c r="AG27" s="159">
        <f>IF(AND(SUM($AA$16:AA26)&gt;0,SUM($AG$16:AG26)&lt;$O$62,$W27&gt;=$O$65),$O$64,0)</f>
        <v>64.125</v>
      </c>
      <c r="AH27" s="228">
        <f>IF(SUM($AA$17:$AA26)&gt;0,($O$62-SUM($AG$17:$AG26))*$E$65,0)</f>
        <v>15.389999999999999</v>
      </c>
      <c r="AI27" s="160">
        <f t="shared" si="29"/>
        <v>60</v>
      </c>
      <c r="AJ27" s="156">
        <f t="shared" si="7"/>
        <v>-60</v>
      </c>
      <c r="AK27" s="158">
        <f>(SUM($P$31,$P$51)-SUM($AU$17:AU26))*$O$109</f>
        <v>0</v>
      </c>
      <c r="AL27" s="163"/>
      <c r="AM27" s="157">
        <f t="shared" si="8"/>
        <v>-41.315765649687478</v>
      </c>
      <c r="AN27" s="164"/>
      <c r="AO27" s="155">
        <f t="shared" si="9"/>
        <v>0</v>
      </c>
      <c r="AP27" s="156">
        <f t="shared" si="10"/>
        <v>0</v>
      </c>
      <c r="AQ27" s="156">
        <f t="shared" si="11"/>
        <v>0</v>
      </c>
      <c r="AR27" s="159">
        <f t="shared" si="12"/>
        <v>0</v>
      </c>
      <c r="AS27" s="160">
        <f t="shared" si="30"/>
        <v>0</v>
      </c>
      <c r="AT27" s="159">
        <f t="shared" si="13"/>
        <v>0</v>
      </c>
      <c r="AU27" s="159">
        <f t="shared" si="14"/>
        <v>0</v>
      </c>
      <c r="AV27" s="159">
        <f t="shared" si="15"/>
        <v>0</v>
      </c>
      <c r="AW27" s="159">
        <f t="shared" si="31"/>
        <v>45</v>
      </c>
      <c r="AX27" s="159">
        <f t="shared" si="32"/>
        <v>6</v>
      </c>
      <c r="AY27" s="159">
        <f t="shared" si="16"/>
        <v>0</v>
      </c>
      <c r="AZ27" s="159">
        <f>IF(AND(SUM($AQ$16:AQ26)&gt;0,SUM($AZ$16:AZ26)&lt;$P$62,$W27&gt;=$P$65),$P$64,0)</f>
        <v>60.75</v>
      </c>
      <c r="BA27" s="159">
        <f>IF(SUM($AQ$17:$AQ26)&gt;0,($P$62-SUM($AZ$17:$AZ26))*$F$65,0)</f>
        <v>14.58</v>
      </c>
      <c r="BB27" s="160">
        <f t="shared" si="33"/>
        <v>51</v>
      </c>
      <c r="BC27" s="156">
        <f t="shared" si="34"/>
        <v>-51</v>
      </c>
      <c r="BD27" s="157">
        <f t="shared" si="17"/>
        <v>-35.118400802234355</v>
      </c>
      <c r="BE27" s="48"/>
      <c r="BF27" s="46">
        <f t="shared" si="35"/>
        <v>0.68859609416145795</v>
      </c>
      <c r="BH27" s="155">
        <f t="shared" si="36"/>
        <v>0</v>
      </c>
      <c r="BI27" s="155">
        <f t="shared" si="37"/>
        <v>0</v>
      </c>
      <c r="BJ27" s="156">
        <f t="shared" si="38"/>
        <v>0</v>
      </c>
      <c r="BK27" s="156">
        <f t="shared" si="39"/>
        <v>45</v>
      </c>
      <c r="BL27" s="156">
        <f t="shared" si="40"/>
        <v>0</v>
      </c>
      <c r="BM27" s="156">
        <f t="shared" si="18"/>
        <v>0</v>
      </c>
      <c r="BN27" s="157">
        <f t="shared" si="41"/>
        <v>45</v>
      </c>
      <c r="BO27" s="156">
        <f t="shared" si="19"/>
        <v>0</v>
      </c>
      <c r="BP27" s="156">
        <f t="shared" si="20"/>
        <v>45</v>
      </c>
      <c r="BQ27" s="156">
        <f t="shared" si="21"/>
        <v>0</v>
      </c>
      <c r="BR27" s="156">
        <f t="shared" si="22"/>
        <v>0</v>
      </c>
      <c r="BS27" s="228">
        <f t="shared" si="42"/>
        <v>0</v>
      </c>
      <c r="BT27" s="156">
        <f t="shared" si="23"/>
        <v>0</v>
      </c>
      <c r="BU27" s="157">
        <f t="shared" si="43"/>
        <v>45</v>
      </c>
      <c r="BV27" s="157">
        <f t="shared" si="24"/>
        <v>0</v>
      </c>
      <c r="BW27" s="153"/>
      <c r="BX27" s="158">
        <f t="shared" si="25"/>
        <v>0</v>
      </c>
      <c r="BY27" s="286">
        <f t="shared" si="44"/>
        <v>0</v>
      </c>
      <c r="CA27"/>
    </row>
    <row r="28" spans="1:79" ht="15.75" customHeight="1">
      <c r="B28" t="s">
        <v>123</v>
      </c>
      <c r="D28" t="s">
        <v>8</v>
      </c>
      <c r="F28" s="289">
        <f>SUM(F29:F30)</f>
        <v>3000</v>
      </c>
      <c r="J28" s="4" t="s">
        <v>194</v>
      </c>
      <c r="O28" t="s">
        <v>0</v>
      </c>
      <c r="P28" t="s">
        <v>1</v>
      </c>
      <c r="V28" s="58">
        <f t="shared" si="26"/>
        <v>49765</v>
      </c>
      <c r="W28" s="7">
        <v>12</v>
      </c>
      <c r="X28" s="282" t="str">
        <f t="shared" si="27"/>
        <v>維持管理・運営期間</v>
      </c>
      <c r="Y28" s="161">
        <f t="shared" si="0"/>
        <v>0</v>
      </c>
      <c r="Z28" s="159">
        <f t="shared" si="1"/>
        <v>0</v>
      </c>
      <c r="AA28" s="159">
        <f t="shared" si="2"/>
        <v>0</v>
      </c>
      <c r="AB28" s="159">
        <f t="shared" si="3"/>
        <v>0</v>
      </c>
      <c r="AC28" s="160">
        <f t="shared" si="28"/>
        <v>0</v>
      </c>
      <c r="AD28" s="161">
        <f t="shared" si="4"/>
        <v>0</v>
      </c>
      <c r="AE28" s="159">
        <f t="shared" si="5"/>
        <v>50</v>
      </c>
      <c r="AF28" s="159">
        <f t="shared" si="6"/>
        <v>10</v>
      </c>
      <c r="AG28" s="159">
        <f>IF(AND(SUM($AA$16:AA27)&gt;0,SUM($AG$16:AG27)&lt;$O$62,$W28&gt;=$O$65),$O$64,0)</f>
        <v>64.125</v>
      </c>
      <c r="AH28" s="228">
        <f>IF(SUM($AA$17:$AA27)&gt;0,($O$62-SUM($AG$17:$AG27))*$E$65,0)</f>
        <v>14.428125</v>
      </c>
      <c r="AI28" s="160">
        <f t="shared" si="29"/>
        <v>60</v>
      </c>
      <c r="AJ28" s="156">
        <f t="shared" si="7"/>
        <v>-60</v>
      </c>
      <c r="AK28" s="158">
        <f>(SUM($P$31,$P$51)-SUM($AU$17:AU27))*$O$109</f>
        <v>0</v>
      </c>
      <c r="AL28" s="163"/>
      <c r="AM28" s="157">
        <f t="shared" si="8"/>
        <v>-39.937907829567408</v>
      </c>
      <c r="AN28" s="164"/>
      <c r="AO28" s="155">
        <f t="shared" si="9"/>
        <v>0</v>
      </c>
      <c r="AP28" s="156">
        <f t="shared" si="10"/>
        <v>0</v>
      </c>
      <c r="AQ28" s="156">
        <f t="shared" si="11"/>
        <v>0</v>
      </c>
      <c r="AR28" s="159">
        <f t="shared" si="12"/>
        <v>0</v>
      </c>
      <c r="AS28" s="160">
        <f t="shared" si="30"/>
        <v>0</v>
      </c>
      <c r="AT28" s="159">
        <f t="shared" si="13"/>
        <v>0</v>
      </c>
      <c r="AU28" s="159">
        <f t="shared" si="14"/>
        <v>0</v>
      </c>
      <c r="AV28" s="159">
        <f t="shared" si="15"/>
        <v>0</v>
      </c>
      <c r="AW28" s="159">
        <f t="shared" si="31"/>
        <v>45</v>
      </c>
      <c r="AX28" s="159">
        <f t="shared" si="32"/>
        <v>6</v>
      </c>
      <c r="AY28" s="159">
        <f t="shared" si="16"/>
        <v>0</v>
      </c>
      <c r="AZ28" s="159">
        <f>IF(AND(SUM($AQ$16:AQ27)&gt;0,SUM($AZ$16:AZ27)&lt;$P$62,$W28&gt;=$P$65),$P$64,0)</f>
        <v>60.75</v>
      </c>
      <c r="BA28" s="159">
        <f>IF(SUM($AQ$17:$AQ27)&gt;0,($P$62-SUM($AZ$17:$AZ27))*$F$65,0)</f>
        <v>13.668749999999999</v>
      </c>
      <c r="BB28" s="160">
        <f t="shared" si="33"/>
        <v>51</v>
      </c>
      <c r="BC28" s="156">
        <f t="shared" si="34"/>
        <v>-51</v>
      </c>
      <c r="BD28" s="157">
        <f t="shared" si="17"/>
        <v>-33.947221655132296</v>
      </c>
      <c r="BE28" s="48"/>
      <c r="BF28" s="46">
        <f t="shared" si="35"/>
        <v>0.66563179715945675</v>
      </c>
      <c r="BH28" s="155">
        <f t="shared" si="36"/>
        <v>0</v>
      </c>
      <c r="BI28" s="155">
        <f t="shared" si="37"/>
        <v>0</v>
      </c>
      <c r="BJ28" s="156">
        <f t="shared" si="38"/>
        <v>0</v>
      </c>
      <c r="BK28" s="156">
        <f t="shared" si="39"/>
        <v>45</v>
      </c>
      <c r="BL28" s="156">
        <f t="shared" si="40"/>
        <v>0</v>
      </c>
      <c r="BM28" s="156">
        <f t="shared" si="18"/>
        <v>0</v>
      </c>
      <c r="BN28" s="157">
        <f t="shared" si="41"/>
        <v>45</v>
      </c>
      <c r="BO28" s="156">
        <f t="shared" si="19"/>
        <v>0</v>
      </c>
      <c r="BP28" s="156">
        <f t="shared" si="20"/>
        <v>45</v>
      </c>
      <c r="BQ28" s="156">
        <f t="shared" si="21"/>
        <v>0</v>
      </c>
      <c r="BR28" s="156">
        <f t="shared" si="22"/>
        <v>0</v>
      </c>
      <c r="BS28" s="228">
        <f t="shared" si="42"/>
        <v>0</v>
      </c>
      <c r="BT28" s="156">
        <f t="shared" si="23"/>
        <v>0</v>
      </c>
      <c r="BU28" s="157">
        <f t="shared" si="43"/>
        <v>45</v>
      </c>
      <c r="BV28" s="157">
        <f t="shared" si="24"/>
        <v>0</v>
      </c>
      <c r="BW28" s="153"/>
      <c r="BX28" s="158">
        <f t="shared" si="25"/>
        <v>0</v>
      </c>
      <c r="BY28" s="286">
        <f t="shared" si="44"/>
        <v>0</v>
      </c>
      <c r="CA28"/>
    </row>
    <row r="29" spans="1:79" ht="15.75" customHeight="1">
      <c r="C29" s="2" t="s">
        <v>72</v>
      </c>
      <c r="D29" t="s">
        <v>8</v>
      </c>
      <c r="F29" s="290">
        <f>事業費用概算!G6</f>
        <v>0</v>
      </c>
      <c r="K29" t="s">
        <v>29</v>
      </c>
      <c r="N29" s="19" t="s">
        <v>8</v>
      </c>
      <c r="O29" s="52">
        <f>F30*$F$50+F29</f>
        <v>2850</v>
      </c>
      <c r="P29" s="52">
        <f>F28*(1-F51)</f>
        <v>2700</v>
      </c>
      <c r="Q29" t="s">
        <v>59</v>
      </c>
      <c r="V29" s="58">
        <f t="shared" si="26"/>
        <v>50130</v>
      </c>
      <c r="W29" s="7">
        <v>13</v>
      </c>
      <c r="X29" s="282" t="str">
        <f t="shared" si="27"/>
        <v>維持管理・運営期間</v>
      </c>
      <c r="Y29" s="161">
        <f t="shared" si="0"/>
        <v>0</v>
      </c>
      <c r="Z29" s="159">
        <f t="shared" si="1"/>
        <v>0</v>
      </c>
      <c r="AA29" s="159">
        <f t="shared" si="2"/>
        <v>0</v>
      </c>
      <c r="AB29" s="159">
        <f t="shared" si="3"/>
        <v>0</v>
      </c>
      <c r="AC29" s="160">
        <f t="shared" si="28"/>
        <v>0</v>
      </c>
      <c r="AD29" s="161">
        <f t="shared" si="4"/>
        <v>0</v>
      </c>
      <c r="AE29" s="159">
        <f t="shared" si="5"/>
        <v>50</v>
      </c>
      <c r="AF29" s="159">
        <f t="shared" si="6"/>
        <v>10</v>
      </c>
      <c r="AG29" s="159">
        <f>IF(AND(SUM($AA$16:AA28)&gt;0,SUM($AG$16:AG28)&lt;$O$62,$W29&gt;=$O$65),$O$64,0)</f>
        <v>64.125</v>
      </c>
      <c r="AH29" s="228">
        <f>IF(SUM($AA$17:$AA28)&gt;0,($O$62-SUM($AG$17:$AG28))*$E$65,0)</f>
        <v>13.466249999999999</v>
      </c>
      <c r="AI29" s="160">
        <f t="shared" si="29"/>
        <v>60</v>
      </c>
      <c r="AJ29" s="156">
        <f t="shared" si="7"/>
        <v>-60</v>
      </c>
      <c r="AK29" s="158">
        <f>(SUM($P$31,$P$51)-SUM($AU$17:AU28))*$O$109</f>
        <v>0</v>
      </c>
      <c r="AL29" s="163"/>
      <c r="AM29" s="157">
        <f t="shared" si="8"/>
        <v>-38.6060008019018</v>
      </c>
      <c r="AN29" s="164"/>
      <c r="AO29" s="155">
        <f t="shared" si="9"/>
        <v>0</v>
      </c>
      <c r="AP29" s="156">
        <f t="shared" si="10"/>
        <v>0</v>
      </c>
      <c r="AQ29" s="156">
        <f t="shared" si="11"/>
        <v>0</v>
      </c>
      <c r="AR29" s="159">
        <f t="shared" si="12"/>
        <v>0</v>
      </c>
      <c r="AS29" s="160">
        <f t="shared" si="30"/>
        <v>0</v>
      </c>
      <c r="AT29" s="159">
        <f t="shared" si="13"/>
        <v>0</v>
      </c>
      <c r="AU29" s="159">
        <f t="shared" si="14"/>
        <v>0</v>
      </c>
      <c r="AV29" s="159">
        <f t="shared" si="15"/>
        <v>0</v>
      </c>
      <c r="AW29" s="159">
        <f t="shared" si="31"/>
        <v>45</v>
      </c>
      <c r="AX29" s="159">
        <f t="shared" si="32"/>
        <v>6</v>
      </c>
      <c r="AY29" s="159">
        <f t="shared" si="16"/>
        <v>0</v>
      </c>
      <c r="AZ29" s="159">
        <f>IF(AND(SUM($AQ$16:AQ28)&gt;0,SUM($AZ$16:AZ28)&lt;$P$62,$W29&gt;=$P$65),$P$64,0)</f>
        <v>60.75</v>
      </c>
      <c r="BA29" s="159">
        <f>IF(SUM($AQ$17:$AQ28)&gt;0,($P$62-SUM($AZ$17:$AZ28))*$F$65,0)</f>
        <v>12.7575</v>
      </c>
      <c r="BB29" s="160">
        <f t="shared" si="33"/>
        <v>51</v>
      </c>
      <c r="BC29" s="156">
        <f t="shared" si="34"/>
        <v>-51</v>
      </c>
      <c r="BD29" s="157">
        <f t="shared" si="17"/>
        <v>-32.815100681616528</v>
      </c>
      <c r="BE29" s="48"/>
      <c r="BF29" s="46">
        <f t="shared" si="35"/>
        <v>0.64343334669836327</v>
      </c>
      <c r="BH29" s="155">
        <f t="shared" si="36"/>
        <v>0</v>
      </c>
      <c r="BI29" s="155">
        <f t="shared" si="37"/>
        <v>0</v>
      </c>
      <c r="BJ29" s="156">
        <f t="shared" si="38"/>
        <v>0</v>
      </c>
      <c r="BK29" s="156">
        <f t="shared" si="39"/>
        <v>45</v>
      </c>
      <c r="BL29" s="156">
        <f t="shared" si="40"/>
        <v>0</v>
      </c>
      <c r="BM29" s="156">
        <f t="shared" si="18"/>
        <v>0</v>
      </c>
      <c r="BN29" s="157">
        <f t="shared" si="41"/>
        <v>45</v>
      </c>
      <c r="BO29" s="156">
        <f t="shared" si="19"/>
        <v>0</v>
      </c>
      <c r="BP29" s="156">
        <f t="shared" si="20"/>
        <v>45</v>
      </c>
      <c r="BQ29" s="156">
        <f t="shared" si="21"/>
        <v>0</v>
      </c>
      <c r="BR29" s="156">
        <f t="shared" si="22"/>
        <v>0</v>
      </c>
      <c r="BS29" s="228">
        <f t="shared" si="42"/>
        <v>0</v>
      </c>
      <c r="BT29" s="156">
        <f t="shared" si="23"/>
        <v>0</v>
      </c>
      <c r="BU29" s="157">
        <f t="shared" si="43"/>
        <v>45</v>
      </c>
      <c r="BV29" s="157">
        <f t="shared" si="24"/>
        <v>0</v>
      </c>
      <c r="BW29" s="153"/>
      <c r="BX29" s="158">
        <f t="shared" si="25"/>
        <v>0</v>
      </c>
      <c r="BY29" s="286">
        <f t="shared" si="44"/>
        <v>0</v>
      </c>
      <c r="CA29"/>
    </row>
    <row r="30" spans="1:79" ht="15.75" customHeight="1">
      <c r="C30" s="2" t="s">
        <v>195</v>
      </c>
      <c r="D30" t="s">
        <v>8</v>
      </c>
      <c r="F30" s="290">
        <f>事業費用概算!G7</f>
        <v>3000</v>
      </c>
      <c r="M30" s="56" t="s">
        <v>43</v>
      </c>
      <c r="N30" s="19" t="s">
        <v>8</v>
      </c>
      <c r="O30" s="51">
        <f>O29*E32</f>
        <v>2850</v>
      </c>
      <c r="P30" s="51">
        <f>$P$29*F32</f>
        <v>2700</v>
      </c>
      <c r="V30" s="58">
        <f t="shared" si="26"/>
        <v>50495</v>
      </c>
      <c r="W30" s="7">
        <v>14</v>
      </c>
      <c r="X30" s="282" t="str">
        <f t="shared" si="27"/>
        <v>維持管理・運営期間</v>
      </c>
      <c r="Y30" s="161">
        <f t="shared" si="0"/>
        <v>0</v>
      </c>
      <c r="Z30" s="159">
        <f t="shared" si="1"/>
        <v>0</v>
      </c>
      <c r="AA30" s="159">
        <f t="shared" si="2"/>
        <v>0</v>
      </c>
      <c r="AB30" s="159">
        <f t="shared" si="3"/>
        <v>0</v>
      </c>
      <c r="AC30" s="160">
        <f t="shared" si="28"/>
        <v>0</v>
      </c>
      <c r="AD30" s="161">
        <f t="shared" si="4"/>
        <v>0</v>
      </c>
      <c r="AE30" s="159">
        <f t="shared" si="5"/>
        <v>50</v>
      </c>
      <c r="AF30" s="159">
        <f t="shared" si="6"/>
        <v>10</v>
      </c>
      <c r="AG30" s="159">
        <f>IF(AND(SUM($AA$16:AA29)&gt;0,SUM($AG$16:AG29)&lt;$O$62,$W30&gt;=$O$65),$O$64,0)</f>
        <v>64.125</v>
      </c>
      <c r="AH30" s="228">
        <f>IF(SUM($AA$17:$AA29)&gt;0,($O$62-SUM($AG$17:$AG29))*$E$65,0)</f>
        <v>12.504375</v>
      </c>
      <c r="AI30" s="160">
        <f t="shared" si="29"/>
        <v>60</v>
      </c>
      <c r="AJ30" s="156">
        <f t="shared" si="7"/>
        <v>-60</v>
      </c>
      <c r="AK30" s="158">
        <f>(SUM($P$31,$P$51)-SUM($AU$17:AU29))*$O$109</f>
        <v>0</v>
      </c>
      <c r="AL30" s="163"/>
      <c r="AM30" s="157">
        <f t="shared" si="8"/>
        <v>-37.318512133302846</v>
      </c>
      <c r="AN30" s="164"/>
      <c r="AO30" s="155">
        <f t="shared" si="9"/>
        <v>0</v>
      </c>
      <c r="AP30" s="156">
        <f t="shared" si="10"/>
        <v>0</v>
      </c>
      <c r="AQ30" s="156">
        <f t="shared" si="11"/>
        <v>0</v>
      </c>
      <c r="AR30" s="159">
        <f t="shared" si="12"/>
        <v>0</v>
      </c>
      <c r="AS30" s="160">
        <f t="shared" si="30"/>
        <v>0</v>
      </c>
      <c r="AT30" s="159">
        <f t="shared" si="13"/>
        <v>0</v>
      </c>
      <c r="AU30" s="159">
        <f t="shared" si="14"/>
        <v>0</v>
      </c>
      <c r="AV30" s="159">
        <f t="shared" si="15"/>
        <v>0</v>
      </c>
      <c r="AW30" s="159">
        <f t="shared" si="31"/>
        <v>45</v>
      </c>
      <c r="AX30" s="159">
        <f t="shared" si="32"/>
        <v>6</v>
      </c>
      <c r="AY30" s="159">
        <f t="shared" si="16"/>
        <v>0</v>
      </c>
      <c r="AZ30" s="159">
        <f>IF(AND(SUM($AQ$16:AQ29)&gt;0,SUM($AZ$16:AZ29)&lt;$P$62,$W30&gt;=$P$65),$P$64,0)</f>
        <v>60.75</v>
      </c>
      <c r="BA30" s="159">
        <f>IF(SUM($AQ$17:$AQ29)&gt;0,($P$62-SUM($AZ$17:$AZ29))*$F$65,0)</f>
        <v>11.84625</v>
      </c>
      <c r="BB30" s="160">
        <f t="shared" si="33"/>
        <v>51</v>
      </c>
      <c r="BC30" s="156">
        <f t="shared" si="34"/>
        <v>-51</v>
      </c>
      <c r="BD30" s="157">
        <f t="shared" si="17"/>
        <v>-31.720735313307419</v>
      </c>
      <c r="BE30" s="48"/>
      <c r="BF30" s="46">
        <f t="shared" si="35"/>
        <v>0.6219752022217141</v>
      </c>
      <c r="BH30" s="155">
        <f t="shared" si="36"/>
        <v>0</v>
      </c>
      <c r="BI30" s="155">
        <f t="shared" si="37"/>
        <v>0</v>
      </c>
      <c r="BJ30" s="156">
        <f t="shared" si="38"/>
        <v>0</v>
      </c>
      <c r="BK30" s="156">
        <f t="shared" si="39"/>
        <v>45</v>
      </c>
      <c r="BL30" s="156">
        <f t="shared" si="40"/>
        <v>0</v>
      </c>
      <c r="BM30" s="156">
        <f t="shared" si="18"/>
        <v>0</v>
      </c>
      <c r="BN30" s="157">
        <f t="shared" si="41"/>
        <v>45</v>
      </c>
      <c r="BO30" s="156">
        <f t="shared" si="19"/>
        <v>0</v>
      </c>
      <c r="BP30" s="156">
        <f t="shared" si="20"/>
        <v>45</v>
      </c>
      <c r="BQ30" s="156">
        <f t="shared" si="21"/>
        <v>0</v>
      </c>
      <c r="BR30" s="156">
        <f t="shared" si="22"/>
        <v>0</v>
      </c>
      <c r="BS30" s="228">
        <f t="shared" si="42"/>
        <v>0</v>
      </c>
      <c r="BT30" s="156">
        <f t="shared" si="23"/>
        <v>0</v>
      </c>
      <c r="BU30" s="157">
        <f t="shared" si="43"/>
        <v>45</v>
      </c>
      <c r="BV30" s="157">
        <f t="shared" si="24"/>
        <v>0</v>
      </c>
      <c r="BW30" s="153"/>
      <c r="BX30" s="158">
        <f t="shared" si="25"/>
        <v>0</v>
      </c>
      <c r="BY30" s="286">
        <f t="shared" si="44"/>
        <v>0</v>
      </c>
      <c r="CA30"/>
    </row>
    <row r="31" spans="1:79" ht="15.75" customHeight="1">
      <c r="C31" t="s">
        <v>121</v>
      </c>
      <c r="E31" s="19" t="s">
        <v>0</v>
      </c>
      <c r="F31" s="19" t="s">
        <v>1</v>
      </c>
      <c r="M31" s="56" t="s">
        <v>25</v>
      </c>
      <c r="N31" s="19" t="s">
        <v>8</v>
      </c>
      <c r="O31" s="51">
        <f>O30*E33</f>
        <v>0</v>
      </c>
      <c r="P31" s="51">
        <f>$P$29*F33</f>
        <v>0</v>
      </c>
      <c r="V31" s="58">
        <f t="shared" si="26"/>
        <v>50860</v>
      </c>
      <c r="W31" s="7">
        <v>15</v>
      </c>
      <c r="X31" s="282" t="str">
        <f t="shared" si="27"/>
        <v>維持管理・運営期間</v>
      </c>
      <c r="Y31" s="161">
        <f t="shared" si="0"/>
        <v>0</v>
      </c>
      <c r="Z31" s="159">
        <f t="shared" si="1"/>
        <v>0</v>
      </c>
      <c r="AA31" s="159">
        <f t="shared" si="2"/>
        <v>0</v>
      </c>
      <c r="AB31" s="159">
        <f t="shared" si="3"/>
        <v>0</v>
      </c>
      <c r="AC31" s="160">
        <f t="shared" si="28"/>
        <v>0</v>
      </c>
      <c r="AD31" s="161">
        <f t="shared" si="4"/>
        <v>0</v>
      </c>
      <c r="AE31" s="159">
        <f t="shared" si="5"/>
        <v>50</v>
      </c>
      <c r="AF31" s="159">
        <f t="shared" si="6"/>
        <v>10</v>
      </c>
      <c r="AG31" s="159">
        <f>IF(AND(SUM($AA$16:AA30)&gt;0,SUM($AG$16:AG30)&lt;$O$62,$W31&gt;=$O$65),$O$64,0)</f>
        <v>64.125</v>
      </c>
      <c r="AH31" s="228">
        <f>IF(SUM($AA$17:$AA30)&gt;0,($O$62-SUM($AG$17:$AG30))*$E$65,0)</f>
        <v>11.5425</v>
      </c>
      <c r="AI31" s="160">
        <f t="shared" si="29"/>
        <v>60</v>
      </c>
      <c r="AJ31" s="156">
        <f t="shared" si="7"/>
        <v>-60</v>
      </c>
      <c r="AK31" s="158">
        <f>(SUM($P$31,$P$51)-SUM($AU$17:AU30))*$O$109</f>
        <v>0</v>
      </c>
      <c r="AL31" s="163"/>
      <c r="AM31" s="157">
        <f t="shared" si="8"/>
        <v>-36.073960496184483</v>
      </c>
      <c r="AN31" s="164"/>
      <c r="AO31" s="155">
        <f t="shared" si="9"/>
        <v>0</v>
      </c>
      <c r="AP31" s="156">
        <f t="shared" si="10"/>
        <v>0</v>
      </c>
      <c r="AQ31" s="156">
        <f t="shared" si="11"/>
        <v>0</v>
      </c>
      <c r="AR31" s="159">
        <f t="shared" si="12"/>
        <v>0</v>
      </c>
      <c r="AS31" s="160">
        <f t="shared" si="30"/>
        <v>0</v>
      </c>
      <c r="AT31" s="159">
        <f t="shared" si="13"/>
        <v>0</v>
      </c>
      <c r="AU31" s="159">
        <f t="shared" si="14"/>
        <v>0</v>
      </c>
      <c r="AV31" s="159">
        <f t="shared" si="15"/>
        <v>0</v>
      </c>
      <c r="AW31" s="159">
        <f t="shared" si="31"/>
        <v>45</v>
      </c>
      <c r="AX31" s="159">
        <f t="shared" si="32"/>
        <v>6</v>
      </c>
      <c r="AY31" s="159">
        <f t="shared" si="16"/>
        <v>0</v>
      </c>
      <c r="AZ31" s="159">
        <f>IF(AND(SUM($AQ$16:AQ30)&gt;0,SUM($AZ$16:AZ30)&lt;$P$62,$W31&gt;=$P$65),$P$64,0)</f>
        <v>60.75</v>
      </c>
      <c r="BA31" s="159">
        <f>IF(SUM($AQ$17:$AQ30)&gt;0,($P$62-SUM($AZ$17:$AZ30))*$F$65,0)</f>
        <v>10.934999999999999</v>
      </c>
      <c r="BB31" s="160">
        <f t="shared" si="33"/>
        <v>51</v>
      </c>
      <c r="BC31" s="156">
        <f t="shared" si="34"/>
        <v>-51</v>
      </c>
      <c r="BD31" s="157">
        <f t="shared" si="17"/>
        <v>-30.662866421756814</v>
      </c>
      <c r="BE31" s="48"/>
      <c r="BF31" s="46">
        <f t="shared" si="35"/>
        <v>0.60123267493640808</v>
      </c>
      <c r="BH31" s="155">
        <f t="shared" si="36"/>
        <v>0</v>
      </c>
      <c r="BI31" s="155">
        <f t="shared" si="37"/>
        <v>0</v>
      </c>
      <c r="BJ31" s="156">
        <f t="shared" si="38"/>
        <v>0</v>
      </c>
      <c r="BK31" s="156">
        <f t="shared" si="39"/>
        <v>45</v>
      </c>
      <c r="BL31" s="156">
        <f t="shared" si="40"/>
        <v>0</v>
      </c>
      <c r="BM31" s="156">
        <f t="shared" si="18"/>
        <v>0</v>
      </c>
      <c r="BN31" s="157">
        <f t="shared" si="41"/>
        <v>45</v>
      </c>
      <c r="BO31" s="156">
        <f t="shared" si="19"/>
        <v>0</v>
      </c>
      <c r="BP31" s="156">
        <f t="shared" si="20"/>
        <v>45</v>
      </c>
      <c r="BQ31" s="156">
        <f t="shared" si="21"/>
        <v>0</v>
      </c>
      <c r="BR31" s="156">
        <f t="shared" si="22"/>
        <v>0</v>
      </c>
      <c r="BS31" s="228">
        <f t="shared" si="42"/>
        <v>0</v>
      </c>
      <c r="BT31" s="156">
        <f t="shared" si="23"/>
        <v>0</v>
      </c>
      <c r="BU31" s="157">
        <f t="shared" si="43"/>
        <v>45</v>
      </c>
      <c r="BV31" s="157">
        <f t="shared" si="24"/>
        <v>0</v>
      </c>
      <c r="BW31" s="153"/>
      <c r="BX31" s="158">
        <f t="shared" si="25"/>
        <v>0</v>
      </c>
      <c r="BY31" s="286">
        <f t="shared" si="44"/>
        <v>0</v>
      </c>
      <c r="CA31"/>
    </row>
    <row r="32" spans="1:79" ht="15.75" customHeight="1">
      <c r="C32" s="2" t="s">
        <v>43</v>
      </c>
      <c r="D32" t="s">
        <v>6</v>
      </c>
      <c r="E32" s="268">
        <v>1</v>
      </c>
      <c r="F32" s="138">
        <v>1</v>
      </c>
      <c r="H32" s="72" t="s">
        <v>204</v>
      </c>
      <c r="M32" s="56" t="s">
        <v>57</v>
      </c>
      <c r="N32" s="19" t="s">
        <v>8</v>
      </c>
      <c r="O32" s="51">
        <f>SUM(O30:O31)</f>
        <v>2850</v>
      </c>
      <c r="P32" s="51">
        <f>SUM(P30:P31)</f>
        <v>2700</v>
      </c>
      <c r="V32" s="58">
        <f t="shared" si="26"/>
        <v>51226</v>
      </c>
      <c r="W32" s="7">
        <v>16</v>
      </c>
      <c r="X32" s="282" t="str">
        <f t="shared" si="27"/>
        <v>維持管理・運営期間</v>
      </c>
      <c r="Y32" s="161">
        <f t="shared" si="0"/>
        <v>0</v>
      </c>
      <c r="Z32" s="159">
        <f t="shared" si="1"/>
        <v>0</v>
      </c>
      <c r="AA32" s="159">
        <f t="shared" si="2"/>
        <v>0</v>
      </c>
      <c r="AB32" s="159">
        <f t="shared" si="3"/>
        <v>0</v>
      </c>
      <c r="AC32" s="160">
        <f t="shared" si="28"/>
        <v>0</v>
      </c>
      <c r="AD32" s="161">
        <f t="shared" si="4"/>
        <v>0</v>
      </c>
      <c r="AE32" s="159">
        <f t="shared" si="5"/>
        <v>50</v>
      </c>
      <c r="AF32" s="159">
        <f t="shared" si="6"/>
        <v>10</v>
      </c>
      <c r="AG32" s="159">
        <f>IF(AND(SUM($AA$16:AA31)&gt;0,SUM($AG$16:AG31)&lt;$O$62,$W32&gt;=$O$65),$O$64,0)</f>
        <v>64.125</v>
      </c>
      <c r="AH32" s="228">
        <f>IF(SUM($AA$17:$AA31)&gt;0,($O$62-SUM($AG$17:$AG31))*$E$65,0)</f>
        <v>10.580625</v>
      </c>
      <c r="AI32" s="160">
        <f t="shared" si="29"/>
        <v>60</v>
      </c>
      <c r="AJ32" s="156">
        <f t="shared" si="7"/>
        <v>-60</v>
      </c>
      <c r="AK32" s="158">
        <f>(SUM($P$31,$P$51)-SUM($AU$17:AU31))*$O$109</f>
        <v>0</v>
      </c>
      <c r="AL32" s="163"/>
      <c r="AM32" s="157">
        <f t="shared" si="8"/>
        <v>-34.87091396441226</v>
      </c>
      <c r="AN32" s="164"/>
      <c r="AO32" s="155">
        <f t="shared" si="9"/>
        <v>0</v>
      </c>
      <c r="AP32" s="156">
        <f t="shared" si="10"/>
        <v>0</v>
      </c>
      <c r="AQ32" s="156">
        <f t="shared" si="11"/>
        <v>0</v>
      </c>
      <c r="AR32" s="159">
        <f t="shared" si="12"/>
        <v>0</v>
      </c>
      <c r="AS32" s="160">
        <f t="shared" si="30"/>
        <v>0</v>
      </c>
      <c r="AT32" s="159">
        <f t="shared" si="13"/>
        <v>0</v>
      </c>
      <c r="AU32" s="159">
        <f t="shared" si="14"/>
        <v>0</v>
      </c>
      <c r="AV32" s="159">
        <f t="shared" si="15"/>
        <v>0</v>
      </c>
      <c r="AW32" s="159">
        <f t="shared" si="31"/>
        <v>45</v>
      </c>
      <c r="AX32" s="159">
        <f t="shared" si="32"/>
        <v>6</v>
      </c>
      <c r="AY32" s="159">
        <f t="shared" si="16"/>
        <v>0</v>
      </c>
      <c r="AZ32" s="159">
        <f>IF(AND(SUM($AQ$16:AQ31)&gt;0,SUM($AZ$16:AZ31)&lt;$P$62,$W32&gt;=$P$65),$P$64,0)</f>
        <v>60.75</v>
      </c>
      <c r="BA32" s="159">
        <f>IF(SUM($AQ$17:$AQ31)&gt;0,($P$62-SUM($AZ$17:$AZ31))*$F$65,0)</f>
        <v>10.02375</v>
      </c>
      <c r="BB32" s="160">
        <f t="shared" si="33"/>
        <v>51</v>
      </c>
      <c r="BC32" s="156">
        <f t="shared" si="34"/>
        <v>-51</v>
      </c>
      <c r="BD32" s="157">
        <f t="shared" si="17"/>
        <v>-29.640276869750423</v>
      </c>
      <c r="BE32" s="48"/>
      <c r="BF32" s="46">
        <f t="shared" si="35"/>
        <v>0.58118189940687104</v>
      </c>
      <c r="BH32" s="155">
        <f t="shared" si="36"/>
        <v>0</v>
      </c>
      <c r="BI32" s="155">
        <f t="shared" si="37"/>
        <v>0</v>
      </c>
      <c r="BJ32" s="156">
        <f t="shared" si="38"/>
        <v>0</v>
      </c>
      <c r="BK32" s="156">
        <f t="shared" si="39"/>
        <v>45</v>
      </c>
      <c r="BL32" s="156">
        <f t="shared" si="40"/>
        <v>0</v>
      </c>
      <c r="BM32" s="156">
        <f t="shared" si="18"/>
        <v>0</v>
      </c>
      <c r="BN32" s="157">
        <f t="shared" si="41"/>
        <v>45</v>
      </c>
      <c r="BO32" s="156">
        <f t="shared" si="19"/>
        <v>0</v>
      </c>
      <c r="BP32" s="156">
        <f t="shared" si="20"/>
        <v>45</v>
      </c>
      <c r="BQ32" s="156">
        <f t="shared" si="21"/>
        <v>0</v>
      </c>
      <c r="BR32" s="156">
        <f t="shared" si="22"/>
        <v>0</v>
      </c>
      <c r="BS32" s="228">
        <f t="shared" si="42"/>
        <v>0</v>
      </c>
      <c r="BT32" s="156">
        <f t="shared" si="23"/>
        <v>0</v>
      </c>
      <c r="BU32" s="157">
        <f t="shared" si="43"/>
        <v>45</v>
      </c>
      <c r="BV32" s="157">
        <f t="shared" si="24"/>
        <v>0</v>
      </c>
      <c r="BW32" s="153"/>
      <c r="BX32" s="158">
        <f t="shared" si="25"/>
        <v>0</v>
      </c>
      <c r="BY32" s="286">
        <f t="shared" si="44"/>
        <v>0</v>
      </c>
      <c r="CA32"/>
    </row>
    <row r="33" spans="2:79" ht="15.75" customHeight="1">
      <c r="C33" s="2" t="s">
        <v>25</v>
      </c>
      <c r="D33" t="s">
        <v>6</v>
      </c>
      <c r="E33" s="139"/>
      <c r="F33" s="139"/>
      <c r="V33" s="58">
        <f t="shared" si="26"/>
        <v>51591</v>
      </c>
      <c r="W33" s="7">
        <v>17</v>
      </c>
      <c r="X33" s="282" t="str">
        <f t="shared" si="27"/>
        <v>維持管理・運営期間</v>
      </c>
      <c r="Y33" s="161">
        <f t="shared" si="0"/>
        <v>0</v>
      </c>
      <c r="Z33" s="159">
        <f t="shared" si="1"/>
        <v>0</v>
      </c>
      <c r="AA33" s="159">
        <f t="shared" si="2"/>
        <v>0</v>
      </c>
      <c r="AB33" s="159">
        <f t="shared" si="3"/>
        <v>0</v>
      </c>
      <c r="AC33" s="160">
        <f t="shared" si="28"/>
        <v>0</v>
      </c>
      <c r="AD33" s="161">
        <f t="shared" si="4"/>
        <v>0</v>
      </c>
      <c r="AE33" s="159">
        <f t="shared" si="5"/>
        <v>50</v>
      </c>
      <c r="AF33" s="159">
        <f t="shared" si="6"/>
        <v>10</v>
      </c>
      <c r="AG33" s="159">
        <f>IF(AND(SUM($AA$16:AA32)&gt;0,SUM($AG$16:AG32)&lt;$O$62,$W33&gt;=$O$65),$O$64,0)</f>
        <v>64.125</v>
      </c>
      <c r="AH33" s="228">
        <f>IF(SUM($AA$17:$AA32)&gt;0,($O$62-SUM($AG$17:$AG32))*$E$65,0)</f>
        <v>9.6187500000000004</v>
      </c>
      <c r="AI33" s="160">
        <f t="shared" si="29"/>
        <v>60</v>
      </c>
      <c r="AJ33" s="156">
        <f t="shared" si="7"/>
        <v>-60</v>
      </c>
      <c r="AK33" s="158">
        <f>(SUM($P$31,$P$51)-SUM($AU$17:AU32))*$O$109</f>
        <v>0</v>
      </c>
      <c r="AL33" s="163"/>
      <c r="AM33" s="157">
        <f t="shared" si="8"/>
        <v>-33.707988365792424</v>
      </c>
      <c r="AN33" s="164"/>
      <c r="AO33" s="155">
        <f t="shared" si="9"/>
        <v>0</v>
      </c>
      <c r="AP33" s="156">
        <f t="shared" si="10"/>
        <v>0</v>
      </c>
      <c r="AQ33" s="156">
        <f t="shared" si="11"/>
        <v>0</v>
      </c>
      <c r="AR33" s="159">
        <f t="shared" si="12"/>
        <v>0</v>
      </c>
      <c r="AS33" s="160">
        <f t="shared" si="30"/>
        <v>0</v>
      </c>
      <c r="AT33" s="159">
        <f t="shared" si="13"/>
        <v>0</v>
      </c>
      <c r="AU33" s="159">
        <f t="shared" si="14"/>
        <v>0</v>
      </c>
      <c r="AV33" s="159">
        <f t="shared" si="15"/>
        <v>0</v>
      </c>
      <c r="AW33" s="159">
        <f t="shared" si="31"/>
        <v>45</v>
      </c>
      <c r="AX33" s="159">
        <f t="shared" si="32"/>
        <v>6</v>
      </c>
      <c r="AY33" s="159">
        <f t="shared" si="16"/>
        <v>0</v>
      </c>
      <c r="AZ33" s="159">
        <f>IF(AND(SUM($AQ$16:AQ32)&gt;0,SUM($AZ$16:AZ32)&lt;$P$62,$W33&gt;=$P$65),$P$64,0)</f>
        <v>60.75</v>
      </c>
      <c r="BA33" s="159">
        <f>IF(SUM($AQ$17:$AQ32)&gt;0,($P$62-SUM($AZ$17:$AZ32))*$F$65,0)</f>
        <v>9.1124999999999989</v>
      </c>
      <c r="BB33" s="160">
        <f t="shared" si="33"/>
        <v>51</v>
      </c>
      <c r="BC33" s="156">
        <f t="shared" si="34"/>
        <v>-51</v>
      </c>
      <c r="BD33" s="157">
        <f t="shared" si="17"/>
        <v>-28.651790110923564</v>
      </c>
      <c r="BE33" s="48"/>
      <c r="BF33" s="46">
        <f t="shared" si="35"/>
        <v>0.56179980609654045</v>
      </c>
      <c r="BH33" s="155">
        <f t="shared" si="36"/>
        <v>0</v>
      </c>
      <c r="BI33" s="155">
        <f t="shared" si="37"/>
        <v>0</v>
      </c>
      <c r="BJ33" s="156">
        <f t="shared" si="38"/>
        <v>0</v>
      </c>
      <c r="BK33" s="156">
        <f t="shared" si="39"/>
        <v>45</v>
      </c>
      <c r="BL33" s="156">
        <f t="shared" si="40"/>
        <v>0</v>
      </c>
      <c r="BM33" s="156">
        <f t="shared" si="18"/>
        <v>0</v>
      </c>
      <c r="BN33" s="157">
        <f t="shared" si="41"/>
        <v>45</v>
      </c>
      <c r="BO33" s="156">
        <f t="shared" si="19"/>
        <v>0</v>
      </c>
      <c r="BP33" s="156">
        <f t="shared" si="20"/>
        <v>45</v>
      </c>
      <c r="BQ33" s="156">
        <f t="shared" si="21"/>
        <v>0</v>
      </c>
      <c r="BR33" s="156">
        <f t="shared" si="22"/>
        <v>0</v>
      </c>
      <c r="BS33" s="228">
        <f t="shared" si="42"/>
        <v>0</v>
      </c>
      <c r="BT33" s="156">
        <f t="shared" si="23"/>
        <v>0</v>
      </c>
      <c r="BU33" s="157">
        <f t="shared" si="43"/>
        <v>45</v>
      </c>
      <c r="BV33" s="157">
        <f t="shared" si="24"/>
        <v>0</v>
      </c>
      <c r="BW33" s="153"/>
      <c r="BX33" s="158">
        <f t="shared" si="25"/>
        <v>0</v>
      </c>
      <c r="BY33" s="286">
        <f t="shared" si="44"/>
        <v>0</v>
      </c>
      <c r="CA33"/>
    </row>
    <row r="34" spans="2:79" ht="15.75" customHeight="1">
      <c r="E34" s="13">
        <f>SUM(E32:E33)</f>
        <v>1</v>
      </c>
      <c r="F34" s="13">
        <f>SUM(F32:F33)</f>
        <v>1</v>
      </c>
      <c r="V34" s="58">
        <f t="shared" si="26"/>
        <v>51956</v>
      </c>
      <c r="W34" s="7">
        <v>18</v>
      </c>
      <c r="X34" s="282" t="str">
        <f t="shared" si="27"/>
        <v>維持管理・運営期間</v>
      </c>
      <c r="Y34" s="161">
        <f t="shared" si="0"/>
        <v>0</v>
      </c>
      <c r="Z34" s="159">
        <f t="shared" si="1"/>
        <v>0</v>
      </c>
      <c r="AA34" s="159">
        <f t="shared" si="2"/>
        <v>0</v>
      </c>
      <c r="AB34" s="159">
        <f t="shared" si="3"/>
        <v>0</v>
      </c>
      <c r="AC34" s="160">
        <f t="shared" si="28"/>
        <v>0</v>
      </c>
      <c r="AD34" s="161">
        <f t="shared" si="4"/>
        <v>0</v>
      </c>
      <c r="AE34" s="159">
        <f t="shared" si="5"/>
        <v>50</v>
      </c>
      <c r="AF34" s="159">
        <f t="shared" si="6"/>
        <v>10</v>
      </c>
      <c r="AG34" s="159">
        <f>IF(AND(SUM($AA$16:AA33)&gt;0,SUM($AG$16:AG33)&lt;$O$62,$W34&gt;=$O$65),$O$64,0)</f>
        <v>64.125</v>
      </c>
      <c r="AH34" s="228">
        <f>IF(SUM($AA$17:$AA33)&gt;0,($O$62-SUM($AG$17:$AG33))*$E$65,0)</f>
        <v>8.6568749999999994</v>
      </c>
      <c r="AI34" s="160">
        <f t="shared" si="29"/>
        <v>60</v>
      </c>
      <c r="AJ34" s="156">
        <f t="shared" si="7"/>
        <v>-60</v>
      </c>
      <c r="AK34" s="158">
        <f>(SUM($P$31,$P$51)-SUM($AU$17:AU33))*$O$109</f>
        <v>0</v>
      </c>
      <c r="AL34" s="163"/>
      <c r="AM34" s="157">
        <f t="shared" si="8"/>
        <v>-32.583845689504521</v>
      </c>
      <c r="AN34" s="164"/>
      <c r="AO34" s="155">
        <f t="shared" si="9"/>
        <v>0</v>
      </c>
      <c r="AP34" s="156">
        <f t="shared" si="10"/>
        <v>0</v>
      </c>
      <c r="AQ34" s="156">
        <f t="shared" si="11"/>
        <v>0</v>
      </c>
      <c r="AR34" s="159">
        <f t="shared" si="12"/>
        <v>0</v>
      </c>
      <c r="AS34" s="160">
        <f t="shared" si="30"/>
        <v>0</v>
      </c>
      <c r="AT34" s="159">
        <f t="shared" si="13"/>
        <v>0</v>
      </c>
      <c r="AU34" s="159">
        <f t="shared" si="14"/>
        <v>0</v>
      </c>
      <c r="AV34" s="159">
        <f t="shared" si="15"/>
        <v>0</v>
      </c>
      <c r="AW34" s="159">
        <f t="shared" si="31"/>
        <v>45</v>
      </c>
      <c r="AX34" s="159">
        <f t="shared" si="32"/>
        <v>6</v>
      </c>
      <c r="AY34" s="159">
        <f t="shared" si="16"/>
        <v>0</v>
      </c>
      <c r="AZ34" s="159">
        <f>IF(AND(SUM($AQ$16:AQ33)&gt;0,SUM($AZ$16:AZ33)&lt;$P$62,$W34&gt;=$P$65),$P$64,0)</f>
        <v>60.75</v>
      </c>
      <c r="BA34" s="159">
        <f>IF(SUM($AQ$17:$AQ33)&gt;0,($P$62-SUM($AZ$17:$AZ33))*$F$65,0)</f>
        <v>8.2012499999999999</v>
      </c>
      <c r="BB34" s="160">
        <f t="shared" si="33"/>
        <v>51</v>
      </c>
      <c r="BC34" s="156">
        <f t="shared" si="34"/>
        <v>-51</v>
      </c>
      <c r="BD34" s="157">
        <f t="shared" si="17"/>
        <v>-27.696268836078843</v>
      </c>
      <c r="BE34" s="48"/>
      <c r="BF34" s="46">
        <f t="shared" si="35"/>
        <v>0.54306409482507534</v>
      </c>
      <c r="BH34" s="155">
        <f t="shared" si="36"/>
        <v>0</v>
      </c>
      <c r="BI34" s="155">
        <f t="shared" si="37"/>
        <v>0</v>
      </c>
      <c r="BJ34" s="156">
        <f t="shared" si="38"/>
        <v>0</v>
      </c>
      <c r="BK34" s="156">
        <f t="shared" si="39"/>
        <v>45</v>
      </c>
      <c r="BL34" s="156">
        <f t="shared" si="40"/>
        <v>0</v>
      </c>
      <c r="BM34" s="156">
        <f t="shared" si="18"/>
        <v>0</v>
      </c>
      <c r="BN34" s="157">
        <f t="shared" si="41"/>
        <v>45</v>
      </c>
      <c r="BO34" s="156">
        <f t="shared" si="19"/>
        <v>0</v>
      </c>
      <c r="BP34" s="156">
        <f t="shared" si="20"/>
        <v>45</v>
      </c>
      <c r="BQ34" s="156">
        <f t="shared" si="21"/>
        <v>0</v>
      </c>
      <c r="BR34" s="156">
        <f t="shared" si="22"/>
        <v>0</v>
      </c>
      <c r="BS34" s="228">
        <f t="shared" si="42"/>
        <v>0</v>
      </c>
      <c r="BT34" s="156">
        <f t="shared" si="23"/>
        <v>0</v>
      </c>
      <c r="BU34" s="157">
        <f t="shared" si="43"/>
        <v>45</v>
      </c>
      <c r="BV34" s="157">
        <f t="shared" si="24"/>
        <v>0</v>
      </c>
      <c r="BW34" s="153"/>
      <c r="BX34" s="158">
        <f t="shared" si="25"/>
        <v>0</v>
      </c>
      <c r="BY34" s="286">
        <f t="shared" si="44"/>
        <v>0</v>
      </c>
      <c r="CA34"/>
    </row>
    <row r="35" spans="2:79" ht="15.75" customHeight="1">
      <c r="B35" s="56" t="s">
        <v>182</v>
      </c>
      <c r="C35" s="2" t="s">
        <v>10</v>
      </c>
      <c r="D35" t="s">
        <v>6</v>
      </c>
      <c r="F35" s="15">
        <v>0</v>
      </c>
      <c r="H35" s="150" t="s">
        <v>205</v>
      </c>
      <c r="J35" s="102" t="s">
        <v>193</v>
      </c>
      <c r="P35" t="s">
        <v>1</v>
      </c>
      <c r="V35" s="58">
        <f t="shared" si="26"/>
        <v>52321</v>
      </c>
      <c r="W35" s="7">
        <v>19</v>
      </c>
      <c r="X35" s="282" t="str">
        <f t="shared" si="27"/>
        <v>維持管理・運営期間</v>
      </c>
      <c r="Y35" s="161">
        <f t="shared" si="0"/>
        <v>0</v>
      </c>
      <c r="Z35" s="159">
        <f t="shared" si="1"/>
        <v>0</v>
      </c>
      <c r="AA35" s="159">
        <f t="shared" si="2"/>
        <v>0</v>
      </c>
      <c r="AB35" s="159">
        <f t="shared" si="3"/>
        <v>0</v>
      </c>
      <c r="AC35" s="160">
        <f t="shared" si="28"/>
        <v>0</v>
      </c>
      <c r="AD35" s="161">
        <f t="shared" si="4"/>
        <v>0</v>
      </c>
      <c r="AE35" s="159">
        <f t="shared" si="5"/>
        <v>50</v>
      </c>
      <c r="AF35" s="159">
        <f t="shared" si="6"/>
        <v>10</v>
      </c>
      <c r="AG35" s="159">
        <f>IF(AND(SUM($AA$16:AA34)&gt;0,SUM($AG$16:AG34)&lt;$O$62,$W35&gt;=$O$65),$O$64,0)</f>
        <v>64.125</v>
      </c>
      <c r="AH35" s="228">
        <f>IF(SUM($AA$17:$AA34)&gt;0,($O$62-SUM($AG$17:$AG34))*$E$65,0)</f>
        <v>7.6949999999999994</v>
      </c>
      <c r="AI35" s="160">
        <f t="shared" si="29"/>
        <v>60</v>
      </c>
      <c r="AJ35" s="156">
        <f t="shared" si="7"/>
        <v>-60</v>
      </c>
      <c r="AK35" s="158">
        <f>(SUM($P$31,$P$51)-SUM($AU$17:AU34))*$O$109</f>
        <v>0</v>
      </c>
      <c r="AL35" s="163"/>
      <c r="AM35" s="157">
        <f t="shared" si="8"/>
        <v>-31.497192546645262</v>
      </c>
      <c r="AN35" s="164"/>
      <c r="AO35" s="155">
        <f t="shared" si="9"/>
        <v>0</v>
      </c>
      <c r="AP35" s="156">
        <f t="shared" si="10"/>
        <v>0</v>
      </c>
      <c r="AQ35" s="156">
        <f t="shared" si="11"/>
        <v>0</v>
      </c>
      <c r="AR35" s="159">
        <f t="shared" si="12"/>
        <v>0</v>
      </c>
      <c r="AS35" s="160">
        <f t="shared" si="30"/>
        <v>0</v>
      </c>
      <c r="AT35" s="159">
        <f t="shared" si="13"/>
        <v>0</v>
      </c>
      <c r="AU35" s="159">
        <f t="shared" si="14"/>
        <v>0</v>
      </c>
      <c r="AV35" s="159">
        <f t="shared" si="15"/>
        <v>0</v>
      </c>
      <c r="AW35" s="159">
        <f t="shared" si="31"/>
        <v>45</v>
      </c>
      <c r="AX35" s="159">
        <f t="shared" si="32"/>
        <v>6</v>
      </c>
      <c r="AY35" s="159">
        <f t="shared" si="16"/>
        <v>0</v>
      </c>
      <c r="AZ35" s="159">
        <f>IF(AND(SUM($AQ$16:AQ34)&gt;0,SUM($AZ$16:AZ34)&lt;$P$62,$W35&gt;=$P$65),$P$64,0)</f>
        <v>60.75</v>
      </c>
      <c r="BA35" s="159">
        <f>IF(SUM($AQ$17:$AQ34)&gt;0,($P$62-SUM($AZ$17:$AZ34))*$F$65,0)</f>
        <v>7.29</v>
      </c>
      <c r="BB35" s="160">
        <f t="shared" si="33"/>
        <v>51</v>
      </c>
      <c r="BC35" s="156">
        <f t="shared" si="34"/>
        <v>-51</v>
      </c>
      <c r="BD35" s="157">
        <f t="shared" si="17"/>
        <v>-26.772613664648475</v>
      </c>
      <c r="BE35" s="48"/>
      <c r="BF35" s="46">
        <f t="shared" si="35"/>
        <v>0.52495320911075438</v>
      </c>
      <c r="BH35" s="155">
        <f t="shared" si="36"/>
        <v>0</v>
      </c>
      <c r="BI35" s="155">
        <f t="shared" si="37"/>
        <v>0</v>
      </c>
      <c r="BJ35" s="156">
        <f t="shared" si="38"/>
        <v>0</v>
      </c>
      <c r="BK35" s="156">
        <f t="shared" si="39"/>
        <v>45</v>
      </c>
      <c r="BL35" s="156">
        <f t="shared" si="40"/>
        <v>0</v>
      </c>
      <c r="BM35" s="156">
        <f t="shared" si="18"/>
        <v>0</v>
      </c>
      <c r="BN35" s="157">
        <f t="shared" si="41"/>
        <v>45</v>
      </c>
      <c r="BO35" s="156">
        <f t="shared" si="19"/>
        <v>0</v>
      </c>
      <c r="BP35" s="156">
        <f t="shared" si="20"/>
        <v>45</v>
      </c>
      <c r="BQ35" s="156">
        <f t="shared" si="21"/>
        <v>0</v>
      </c>
      <c r="BR35" s="156">
        <f t="shared" si="22"/>
        <v>0</v>
      </c>
      <c r="BS35" s="228">
        <f t="shared" si="42"/>
        <v>0</v>
      </c>
      <c r="BT35" s="156">
        <f t="shared" si="23"/>
        <v>0</v>
      </c>
      <c r="BU35" s="157">
        <f t="shared" si="43"/>
        <v>45</v>
      </c>
      <c r="BV35" s="157">
        <f t="shared" si="24"/>
        <v>0</v>
      </c>
      <c r="BW35" s="153"/>
      <c r="BX35" s="158">
        <f t="shared" si="25"/>
        <v>0</v>
      </c>
      <c r="BY35" s="286">
        <f t="shared" si="44"/>
        <v>0</v>
      </c>
      <c r="CA35"/>
    </row>
    <row r="36" spans="2:79" ht="15.75" customHeight="1">
      <c r="C36" s="2" t="s">
        <v>181</v>
      </c>
      <c r="D36" t="s">
        <v>6</v>
      </c>
      <c r="F36" s="140">
        <f>F70</f>
        <v>0</v>
      </c>
      <c r="H36" s="150" t="s">
        <v>205</v>
      </c>
      <c r="J36" s="4"/>
      <c r="K36" s="56" t="s">
        <v>58</v>
      </c>
      <c r="N36" s="19" t="s">
        <v>6</v>
      </c>
      <c r="O36" s="53"/>
      <c r="P36" s="36">
        <f>SUM(F35:F37)</f>
        <v>0</v>
      </c>
      <c r="V36" s="58">
        <f t="shared" si="26"/>
        <v>52687</v>
      </c>
      <c r="W36" s="7">
        <v>20</v>
      </c>
      <c r="X36" s="282" t="str">
        <f t="shared" si="27"/>
        <v>維持管理・運営期間</v>
      </c>
      <c r="Y36" s="161">
        <f t="shared" si="0"/>
        <v>0</v>
      </c>
      <c r="Z36" s="159">
        <f t="shared" si="1"/>
        <v>0</v>
      </c>
      <c r="AA36" s="159">
        <f t="shared" si="2"/>
        <v>0</v>
      </c>
      <c r="AB36" s="159">
        <f t="shared" si="3"/>
        <v>0</v>
      </c>
      <c r="AC36" s="160">
        <f t="shared" si="28"/>
        <v>0</v>
      </c>
      <c r="AD36" s="161">
        <f t="shared" si="4"/>
        <v>0</v>
      </c>
      <c r="AE36" s="159">
        <f t="shared" si="5"/>
        <v>50</v>
      </c>
      <c r="AF36" s="159">
        <f t="shared" si="6"/>
        <v>10</v>
      </c>
      <c r="AG36" s="159">
        <f>IF(AND(SUM($AA$16:AA35)&gt;0,SUM($AG$16:AG35)&lt;$O$62,$W36&gt;=$O$65),$O$64,0)</f>
        <v>64.125</v>
      </c>
      <c r="AH36" s="228">
        <f>IF(SUM($AA$17:$AA35)&gt;0,($O$62-SUM($AG$17:$AG35))*$E$65,0)</f>
        <v>6.7331249999999994</v>
      </c>
      <c r="AI36" s="160">
        <f t="shared" si="29"/>
        <v>60</v>
      </c>
      <c r="AJ36" s="156">
        <f t="shared" si="7"/>
        <v>-60</v>
      </c>
      <c r="AK36" s="158">
        <f>(SUM($P$31,$P$51)-SUM($AU$17:AU35))*$O$109</f>
        <v>0</v>
      </c>
      <c r="AL36" s="163"/>
      <c r="AM36" s="157">
        <f t="shared" si="8"/>
        <v>-30.446778682112388</v>
      </c>
      <c r="AN36" s="164"/>
      <c r="AO36" s="155">
        <f t="shared" si="9"/>
        <v>0</v>
      </c>
      <c r="AP36" s="156">
        <f t="shared" si="10"/>
        <v>0</v>
      </c>
      <c r="AQ36" s="156">
        <f t="shared" si="11"/>
        <v>0</v>
      </c>
      <c r="AR36" s="159">
        <f t="shared" si="12"/>
        <v>0</v>
      </c>
      <c r="AS36" s="160">
        <f t="shared" si="30"/>
        <v>0</v>
      </c>
      <c r="AT36" s="159">
        <f t="shared" si="13"/>
        <v>0</v>
      </c>
      <c r="AU36" s="159">
        <f t="shared" si="14"/>
        <v>0</v>
      </c>
      <c r="AV36" s="159">
        <f t="shared" si="15"/>
        <v>0</v>
      </c>
      <c r="AW36" s="159">
        <f t="shared" si="31"/>
        <v>45</v>
      </c>
      <c r="AX36" s="159">
        <f t="shared" si="32"/>
        <v>6</v>
      </c>
      <c r="AY36" s="159">
        <f t="shared" si="16"/>
        <v>0</v>
      </c>
      <c r="AZ36" s="159">
        <f>IF(AND(SUM($AQ$16:AQ35)&gt;0,SUM($AZ$16:AZ35)&lt;$P$62,$W36&gt;=$P$65),$P$64,0)</f>
        <v>60.75</v>
      </c>
      <c r="BA36" s="159">
        <f>IF(SUM($AQ$17:$AQ35)&gt;0,($P$62-SUM($AZ$17:$AZ35))*$F$65,0)</f>
        <v>6.3787500000000001</v>
      </c>
      <c r="BB36" s="160">
        <f t="shared" si="33"/>
        <v>51</v>
      </c>
      <c r="BC36" s="156">
        <f t="shared" si="34"/>
        <v>-51</v>
      </c>
      <c r="BD36" s="157">
        <f t="shared" si="17"/>
        <v>-25.879761879795531</v>
      </c>
      <c r="BE36" s="48"/>
      <c r="BF36" s="46">
        <f t="shared" si="35"/>
        <v>0.50744631136853979</v>
      </c>
      <c r="BH36" s="155">
        <f t="shared" si="36"/>
        <v>0</v>
      </c>
      <c r="BI36" s="155">
        <f t="shared" si="37"/>
        <v>0</v>
      </c>
      <c r="BJ36" s="156">
        <f t="shared" si="38"/>
        <v>0</v>
      </c>
      <c r="BK36" s="156">
        <f t="shared" si="39"/>
        <v>45</v>
      </c>
      <c r="BL36" s="156">
        <f t="shared" si="40"/>
        <v>0</v>
      </c>
      <c r="BM36" s="156">
        <f t="shared" si="18"/>
        <v>0</v>
      </c>
      <c r="BN36" s="157">
        <f t="shared" si="41"/>
        <v>45</v>
      </c>
      <c r="BO36" s="156">
        <f t="shared" si="19"/>
        <v>0</v>
      </c>
      <c r="BP36" s="156">
        <f t="shared" si="20"/>
        <v>45</v>
      </c>
      <c r="BQ36" s="156">
        <f t="shared" si="21"/>
        <v>0</v>
      </c>
      <c r="BR36" s="156">
        <f t="shared" si="22"/>
        <v>0</v>
      </c>
      <c r="BS36" s="228">
        <f t="shared" si="42"/>
        <v>0</v>
      </c>
      <c r="BT36" s="156">
        <f t="shared" si="23"/>
        <v>0</v>
      </c>
      <c r="BU36" s="157">
        <f t="shared" si="43"/>
        <v>45</v>
      </c>
      <c r="BV36" s="157">
        <f t="shared" si="24"/>
        <v>0</v>
      </c>
      <c r="BW36" s="153"/>
      <c r="BX36" s="158">
        <f t="shared" si="25"/>
        <v>0</v>
      </c>
      <c r="BY36" s="286">
        <f t="shared" si="44"/>
        <v>0</v>
      </c>
      <c r="CA36"/>
    </row>
    <row r="37" spans="2:79" ht="15.75" customHeight="1">
      <c r="C37" s="2" t="s">
        <v>11</v>
      </c>
      <c r="D37" t="s">
        <v>6</v>
      </c>
      <c r="F37" s="108">
        <v>0</v>
      </c>
      <c r="H37" s="150" t="s">
        <v>205</v>
      </c>
      <c r="V37" s="58">
        <f t="shared" si="26"/>
        <v>53052</v>
      </c>
      <c r="W37" s="7">
        <v>21</v>
      </c>
      <c r="X37" s="282" t="str">
        <f t="shared" si="27"/>
        <v>維持管理・運営期間</v>
      </c>
      <c r="Y37" s="161">
        <f t="shared" si="0"/>
        <v>0</v>
      </c>
      <c r="Z37" s="159">
        <f t="shared" si="1"/>
        <v>0</v>
      </c>
      <c r="AA37" s="159">
        <f t="shared" si="2"/>
        <v>0</v>
      </c>
      <c r="AB37" s="159">
        <f t="shared" si="3"/>
        <v>0</v>
      </c>
      <c r="AC37" s="160">
        <f t="shared" si="28"/>
        <v>0</v>
      </c>
      <c r="AD37" s="161">
        <f t="shared" si="4"/>
        <v>0</v>
      </c>
      <c r="AE37" s="159">
        <f t="shared" si="5"/>
        <v>50</v>
      </c>
      <c r="AF37" s="159">
        <f t="shared" si="6"/>
        <v>10</v>
      </c>
      <c r="AG37" s="159">
        <f>IF(AND(SUM($AA$16:AA36)&gt;0,SUM($AG$16:AG36)&lt;$O$62,$W37&gt;=$O$65),$O$64,0)</f>
        <v>64.125</v>
      </c>
      <c r="AH37" s="228">
        <f>IF(SUM($AA$17:$AA36)&gt;0,($O$62-SUM($AG$17:$AG36))*$E$65,0)</f>
        <v>5.7712500000000002</v>
      </c>
      <c r="AI37" s="160">
        <f t="shared" si="29"/>
        <v>60</v>
      </c>
      <c r="AJ37" s="156">
        <f t="shared" si="7"/>
        <v>-60</v>
      </c>
      <c r="AK37" s="158">
        <f>(SUM($P$31,$P$51)-SUM($AU$17:AU36))*$O$109</f>
        <v>0</v>
      </c>
      <c r="AL37" s="163"/>
      <c r="AM37" s="157">
        <f t="shared" si="8"/>
        <v>-29.431395536116373</v>
      </c>
      <c r="AN37" s="164"/>
      <c r="AO37" s="155">
        <f t="shared" si="9"/>
        <v>0</v>
      </c>
      <c r="AP37" s="156">
        <f t="shared" si="10"/>
        <v>0</v>
      </c>
      <c r="AQ37" s="156">
        <f t="shared" si="11"/>
        <v>0</v>
      </c>
      <c r="AR37" s="159">
        <f t="shared" si="12"/>
        <v>0</v>
      </c>
      <c r="AS37" s="160">
        <f t="shared" si="30"/>
        <v>0</v>
      </c>
      <c r="AT37" s="159">
        <f t="shared" si="13"/>
        <v>0</v>
      </c>
      <c r="AU37" s="159">
        <f t="shared" si="14"/>
        <v>0</v>
      </c>
      <c r="AV37" s="159">
        <f t="shared" si="15"/>
        <v>0</v>
      </c>
      <c r="AW37" s="159">
        <f t="shared" si="31"/>
        <v>45</v>
      </c>
      <c r="AX37" s="159">
        <f t="shared" si="32"/>
        <v>6</v>
      </c>
      <c r="AY37" s="159">
        <f t="shared" si="16"/>
        <v>0</v>
      </c>
      <c r="AZ37" s="159">
        <f>IF(AND(SUM($AQ$16:AQ36)&gt;0,SUM($AZ$16:AZ36)&lt;$P$62,$W37&gt;=$P$65),$P$64,0)</f>
        <v>60.75</v>
      </c>
      <c r="BA37" s="159">
        <f>IF(SUM($AQ$17:$AQ36)&gt;0,($P$62-SUM($AZ$17:$AZ36))*$F$65,0)</f>
        <v>5.4674999999999994</v>
      </c>
      <c r="BB37" s="160">
        <f t="shared" si="33"/>
        <v>51</v>
      </c>
      <c r="BC37" s="156">
        <f t="shared" si="34"/>
        <v>-51</v>
      </c>
      <c r="BD37" s="157">
        <f t="shared" si="17"/>
        <v>-25.016686205698917</v>
      </c>
      <c r="BE37" s="48"/>
      <c r="BF37" s="46">
        <f t="shared" si="35"/>
        <v>0.49052325893527288</v>
      </c>
      <c r="BH37" s="155">
        <f t="shared" si="36"/>
        <v>0</v>
      </c>
      <c r="BI37" s="155">
        <f t="shared" si="37"/>
        <v>0</v>
      </c>
      <c r="BJ37" s="156">
        <f t="shared" si="38"/>
        <v>0</v>
      </c>
      <c r="BK37" s="156">
        <f t="shared" si="39"/>
        <v>45</v>
      </c>
      <c r="BL37" s="156">
        <f t="shared" si="40"/>
        <v>0</v>
      </c>
      <c r="BM37" s="156">
        <f t="shared" si="18"/>
        <v>0</v>
      </c>
      <c r="BN37" s="157">
        <f t="shared" si="41"/>
        <v>45</v>
      </c>
      <c r="BO37" s="156">
        <f t="shared" si="19"/>
        <v>0</v>
      </c>
      <c r="BP37" s="156">
        <f t="shared" si="20"/>
        <v>45</v>
      </c>
      <c r="BQ37" s="156">
        <f t="shared" si="21"/>
        <v>0</v>
      </c>
      <c r="BR37" s="156">
        <f t="shared" si="22"/>
        <v>0</v>
      </c>
      <c r="BS37" s="228">
        <f t="shared" si="42"/>
        <v>0</v>
      </c>
      <c r="BT37" s="156">
        <f t="shared" si="23"/>
        <v>0</v>
      </c>
      <c r="BU37" s="157">
        <f t="shared" si="43"/>
        <v>45</v>
      </c>
      <c r="BV37" s="157">
        <f t="shared" si="24"/>
        <v>0</v>
      </c>
      <c r="BW37" s="153"/>
      <c r="BX37" s="158">
        <f t="shared" si="25"/>
        <v>0</v>
      </c>
      <c r="BY37" s="286">
        <f t="shared" si="44"/>
        <v>0</v>
      </c>
      <c r="CA37"/>
    </row>
    <row r="38" spans="2:79" ht="15.75" customHeight="1">
      <c r="C38" s="99"/>
      <c r="D38" s="101" t="s">
        <v>103</v>
      </c>
      <c r="E38" s="100"/>
      <c r="F38" s="98">
        <f>BY15</f>
        <v>0</v>
      </c>
      <c r="V38" s="58">
        <f t="shared" si="26"/>
        <v>53417</v>
      </c>
      <c r="W38" s="7">
        <v>22</v>
      </c>
      <c r="X38" s="282" t="str">
        <f t="shared" si="27"/>
        <v>維持管理・運営期間</v>
      </c>
      <c r="Y38" s="161">
        <f t="shared" si="0"/>
        <v>0</v>
      </c>
      <c r="Z38" s="159">
        <f t="shared" si="1"/>
        <v>0</v>
      </c>
      <c r="AA38" s="159">
        <f t="shared" si="2"/>
        <v>0</v>
      </c>
      <c r="AB38" s="159">
        <f t="shared" si="3"/>
        <v>0</v>
      </c>
      <c r="AC38" s="160">
        <f t="shared" si="28"/>
        <v>0</v>
      </c>
      <c r="AD38" s="161">
        <f t="shared" si="4"/>
        <v>0</v>
      </c>
      <c r="AE38" s="159">
        <f t="shared" si="5"/>
        <v>50</v>
      </c>
      <c r="AF38" s="159">
        <f t="shared" si="6"/>
        <v>10</v>
      </c>
      <c r="AG38" s="159">
        <f>IF(AND(SUM($AA$16:AA37)&gt;0,SUM($AG$16:AG37)&lt;$O$62,$W38&gt;=$O$65),$O$64,0)</f>
        <v>64.125</v>
      </c>
      <c r="AH38" s="228">
        <f>IF(SUM($AA$17:$AA37)&gt;0,($O$62-SUM($AG$17:$AG37))*$E$65,0)</f>
        <v>4.8093750000000002</v>
      </c>
      <c r="AI38" s="160">
        <f t="shared" si="29"/>
        <v>60</v>
      </c>
      <c r="AJ38" s="156">
        <f t="shared" si="7"/>
        <v>-60</v>
      </c>
      <c r="AK38" s="158">
        <f>(SUM($P$31,$P$51)-SUM($AU$17:AU37))*$O$109</f>
        <v>0</v>
      </c>
      <c r="AL38" s="163"/>
      <c r="AM38" s="157">
        <f t="shared" si="8"/>
        <v>-28.449874853664934</v>
      </c>
      <c r="AN38" s="164"/>
      <c r="AO38" s="155">
        <f t="shared" si="9"/>
        <v>0</v>
      </c>
      <c r="AP38" s="156">
        <f t="shared" si="10"/>
        <v>0</v>
      </c>
      <c r="AQ38" s="156">
        <f t="shared" si="11"/>
        <v>0</v>
      </c>
      <c r="AR38" s="159">
        <f t="shared" si="12"/>
        <v>0</v>
      </c>
      <c r="AS38" s="160">
        <f t="shared" si="30"/>
        <v>0</v>
      </c>
      <c r="AT38" s="159">
        <f t="shared" si="13"/>
        <v>0</v>
      </c>
      <c r="AU38" s="159">
        <f t="shared" si="14"/>
        <v>0</v>
      </c>
      <c r="AV38" s="159">
        <f t="shared" si="15"/>
        <v>0</v>
      </c>
      <c r="AW38" s="159">
        <f t="shared" si="31"/>
        <v>45</v>
      </c>
      <c r="AX38" s="159">
        <f t="shared" si="32"/>
        <v>6</v>
      </c>
      <c r="AY38" s="159">
        <f t="shared" si="16"/>
        <v>0</v>
      </c>
      <c r="AZ38" s="159">
        <f>IF(AND(SUM($AQ$16:AQ37)&gt;0,SUM($AZ$16:AZ37)&lt;$P$62,$W38&gt;=$P$65),$P$64,0)</f>
        <v>60.75</v>
      </c>
      <c r="BA38" s="159">
        <f>IF(SUM($AQ$17:$AQ37)&gt;0,($P$62-SUM($AZ$17:$AZ37))*$F$65,0)</f>
        <v>4.5562499999999995</v>
      </c>
      <c r="BB38" s="160">
        <f t="shared" si="33"/>
        <v>51</v>
      </c>
      <c r="BC38" s="156">
        <f t="shared" si="34"/>
        <v>-51</v>
      </c>
      <c r="BD38" s="157">
        <f t="shared" si="17"/>
        <v>-24.182393625615191</v>
      </c>
      <c r="BE38" s="48"/>
      <c r="BF38" s="46">
        <f t="shared" si="35"/>
        <v>0.47416458089441554</v>
      </c>
      <c r="BH38" s="155">
        <f t="shared" si="36"/>
        <v>0</v>
      </c>
      <c r="BI38" s="155">
        <f t="shared" si="37"/>
        <v>0</v>
      </c>
      <c r="BJ38" s="156">
        <f t="shared" si="38"/>
        <v>0</v>
      </c>
      <c r="BK38" s="156">
        <f t="shared" si="39"/>
        <v>45</v>
      </c>
      <c r="BL38" s="156">
        <f t="shared" si="40"/>
        <v>0</v>
      </c>
      <c r="BM38" s="156">
        <f t="shared" si="18"/>
        <v>0</v>
      </c>
      <c r="BN38" s="157">
        <f t="shared" si="41"/>
        <v>45</v>
      </c>
      <c r="BO38" s="156">
        <f t="shared" si="19"/>
        <v>0</v>
      </c>
      <c r="BP38" s="156">
        <f t="shared" si="20"/>
        <v>45</v>
      </c>
      <c r="BQ38" s="156">
        <f t="shared" si="21"/>
        <v>0</v>
      </c>
      <c r="BR38" s="156">
        <f t="shared" si="22"/>
        <v>0</v>
      </c>
      <c r="BS38" s="228">
        <f t="shared" si="42"/>
        <v>0</v>
      </c>
      <c r="BT38" s="156">
        <f t="shared" si="23"/>
        <v>0</v>
      </c>
      <c r="BU38" s="157">
        <f t="shared" si="43"/>
        <v>45</v>
      </c>
      <c r="BV38" s="157">
        <f t="shared" si="24"/>
        <v>0</v>
      </c>
      <c r="BW38" s="153"/>
      <c r="BX38" s="158">
        <f t="shared" si="25"/>
        <v>0</v>
      </c>
      <c r="BY38" s="286">
        <f t="shared" si="44"/>
        <v>0</v>
      </c>
      <c r="CA38"/>
    </row>
    <row r="39" spans="2:79" ht="15.75" customHeight="1">
      <c r="V39" s="58">
        <f t="shared" si="26"/>
        <v>53782</v>
      </c>
      <c r="W39" s="7">
        <v>23</v>
      </c>
      <c r="X39" s="282" t="str">
        <f t="shared" si="27"/>
        <v>維持管理・運営期間</v>
      </c>
      <c r="Y39" s="161">
        <f t="shared" si="0"/>
        <v>0</v>
      </c>
      <c r="Z39" s="159">
        <f t="shared" si="1"/>
        <v>0</v>
      </c>
      <c r="AA39" s="159">
        <f t="shared" si="2"/>
        <v>0</v>
      </c>
      <c r="AB39" s="159">
        <f t="shared" si="3"/>
        <v>0</v>
      </c>
      <c r="AC39" s="160">
        <f t="shared" si="28"/>
        <v>0</v>
      </c>
      <c r="AD39" s="161">
        <f t="shared" si="4"/>
        <v>0</v>
      </c>
      <c r="AE39" s="159">
        <f t="shared" si="5"/>
        <v>50</v>
      </c>
      <c r="AF39" s="159">
        <f t="shared" si="6"/>
        <v>10</v>
      </c>
      <c r="AG39" s="159">
        <f>IF(AND(SUM($AA$16:AA38)&gt;0,SUM($AG$16:AG38)&lt;$O$62,$W39&gt;=$O$65),$O$64,0)</f>
        <v>64.125</v>
      </c>
      <c r="AH39" s="228">
        <f>IF(SUM($AA$17:$AA38)&gt;0,($O$62-SUM($AG$17:$AG38))*$E$65,0)</f>
        <v>3.8474999999999997</v>
      </c>
      <c r="AI39" s="160">
        <f t="shared" si="29"/>
        <v>60</v>
      </c>
      <c r="AJ39" s="156">
        <f t="shared" si="7"/>
        <v>-60</v>
      </c>
      <c r="AK39" s="158">
        <f>(SUM($P$31,$P$51)-SUM($AU$17:AU38))*$O$109</f>
        <v>0</v>
      </c>
      <c r="AL39" s="163"/>
      <c r="AM39" s="157">
        <f t="shared" si="8"/>
        <v>-27.50108734042043</v>
      </c>
      <c r="AN39" s="164"/>
      <c r="AO39" s="155">
        <f t="shared" si="9"/>
        <v>0</v>
      </c>
      <c r="AP39" s="156">
        <f t="shared" si="10"/>
        <v>0</v>
      </c>
      <c r="AQ39" s="156">
        <f t="shared" si="11"/>
        <v>0</v>
      </c>
      <c r="AR39" s="159">
        <f t="shared" si="12"/>
        <v>0</v>
      </c>
      <c r="AS39" s="160">
        <f t="shared" si="30"/>
        <v>0</v>
      </c>
      <c r="AT39" s="159">
        <f t="shared" si="13"/>
        <v>0</v>
      </c>
      <c r="AU39" s="159">
        <f t="shared" si="14"/>
        <v>0</v>
      </c>
      <c r="AV39" s="159">
        <f t="shared" si="15"/>
        <v>0</v>
      </c>
      <c r="AW39" s="159">
        <f t="shared" si="31"/>
        <v>45</v>
      </c>
      <c r="AX39" s="159">
        <f t="shared" si="32"/>
        <v>6</v>
      </c>
      <c r="AY39" s="159">
        <f t="shared" si="16"/>
        <v>0</v>
      </c>
      <c r="AZ39" s="159">
        <f>IF(AND(SUM($AQ$16:AQ38)&gt;0,SUM($AZ$16:AZ38)&lt;$P$62,$W39&gt;=$P$65),$P$64,0)</f>
        <v>60.75</v>
      </c>
      <c r="BA39" s="159">
        <f>IF(SUM($AQ$17:$AQ38)&gt;0,($P$62-SUM($AZ$17:$AZ38))*$F$65,0)</f>
        <v>3.645</v>
      </c>
      <c r="BB39" s="160">
        <f t="shared" si="33"/>
        <v>51</v>
      </c>
      <c r="BC39" s="156">
        <f t="shared" si="34"/>
        <v>-51</v>
      </c>
      <c r="BD39" s="157">
        <f t="shared" si="17"/>
        <v>-23.375924239357364</v>
      </c>
      <c r="BE39" s="48"/>
      <c r="BF39" s="46">
        <f t="shared" si="35"/>
        <v>0.4583514556736738</v>
      </c>
      <c r="BH39" s="155">
        <f t="shared" si="36"/>
        <v>0</v>
      </c>
      <c r="BI39" s="155">
        <f t="shared" si="37"/>
        <v>0</v>
      </c>
      <c r="BJ39" s="156">
        <f t="shared" si="38"/>
        <v>0</v>
      </c>
      <c r="BK39" s="156">
        <f t="shared" si="39"/>
        <v>45</v>
      </c>
      <c r="BL39" s="156">
        <f t="shared" si="40"/>
        <v>0</v>
      </c>
      <c r="BM39" s="156">
        <f t="shared" si="18"/>
        <v>0</v>
      </c>
      <c r="BN39" s="157">
        <f t="shared" si="41"/>
        <v>45</v>
      </c>
      <c r="BO39" s="156">
        <f t="shared" si="19"/>
        <v>0</v>
      </c>
      <c r="BP39" s="156">
        <f t="shared" si="20"/>
        <v>45</v>
      </c>
      <c r="BQ39" s="156">
        <f t="shared" si="21"/>
        <v>0</v>
      </c>
      <c r="BR39" s="156">
        <f t="shared" si="22"/>
        <v>0</v>
      </c>
      <c r="BS39" s="228">
        <f t="shared" si="42"/>
        <v>0</v>
      </c>
      <c r="BT39" s="156">
        <f t="shared" si="23"/>
        <v>0</v>
      </c>
      <c r="BU39" s="157">
        <f t="shared" si="43"/>
        <v>45</v>
      </c>
      <c r="BV39" s="157">
        <f t="shared" si="24"/>
        <v>0</v>
      </c>
      <c r="BW39" s="153"/>
      <c r="BX39" s="158">
        <f t="shared" si="25"/>
        <v>0</v>
      </c>
      <c r="BY39" s="286">
        <f t="shared" si="44"/>
        <v>0</v>
      </c>
      <c r="CA39"/>
    </row>
    <row r="40" spans="2:79" ht="15.75" customHeight="1">
      <c r="B40" t="s">
        <v>183</v>
      </c>
      <c r="D40" t="s">
        <v>8</v>
      </c>
      <c r="F40" s="289">
        <f>SUM(F41:F42)</f>
        <v>50</v>
      </c>
      <c r="J40" s="4" t="s">
        <v>192</v>
      </c>
      <c r="V40" s="58">
        <f t="shared" si="26"/>
        <v>54148</v>
      </c>
      <c r="W40" s="26">
        <v>24</v>
      </c>
      <c r="X40" s="282" t="str">
        <f t="shared" si="27"/>
        <v>-</v>
      </c>
      <c r="Y40" s="161">
        <f t="shared" si="0"/>
        <v>0</v>
      </c>
      <c r="Z40" s="159">
        <f t="shared" si="1"/>
        <v>0</v>
      </c>
      <c r="AA40" s="159">
        <f t="shared" si="2"/>
        <v>0</v>
      </c>
      <c r="AB40" s="159">
        <f t="shared" si="3"/>
        <v>0</v>
      </c>
      <c r="AC40" s="160">
        <f t="shared" si="28"/>
        <v>0</v>
      </c>
      <c r="AD40" s="161">
        <f t="shared" si="4"/>
        <v>0</v>
      </c>
      <c r="AE40" s="159">
        <f t="shared" si="5"/>
        <v>0</v>
      </c>
      <c r="AF40" s="159">
        <f t="shared" si="6"/>
        <v>0</v>
      </c>
      <c r="AG40" s="159">
        <f>IF(AND(SUM($AA$16:AA39)&gt;0,SUM($AG$16:AG39)&lt;$O$62,$W40&gt;=$O$65),$O$64,0)</f>
        <v>64.125</v>
      </c>
      <c r="AH40" s="228">
        <f>IF(SUM($AA$17:$AA39)&gt;0,($O$62-SUM($AG$17:$AG39))*$E$65,0)</f>
        <v>2.8856250000000001</v>
      </c>
      <c r="AI40" s="160">
        <f t="shared" si="29"/>
        <v>0</v>
      </c>
      <c r="AJ40" s="156">
        <f t="shared" si="7"/>
        <v>0</v>
      </c>
      <c r="AK40" s="158">
        <f>(SUM($P$31,$P$51)-SUM($AU$17:AU39))*$O$109</f>
        <v>0</v>
      </c>
      <c r="AL40" s="163"/>
      <c r="AM40" s="157">
        <f t="shared" si="8"/>
        <v>0</v>
      </c>
      <c r="AN40" s="164"/>
      <c r="AO40" s="155">
        <f t="shared" si="9"/>
        <v>0</v>
      </c>
      <c r="AP40" s="156">
        <f t="shared" si="10"/>
        <v>0</v>
      </c>
      <c r="AQ40" s="156">
        <f t="shared" si="11"/>
        <v>0</v>
      </c>
      <c r="AR40" s="159">
        <f t="shared" si="12"/>
        <v>0</v>
      </c>
      <c r="AS40" s="160">
        <f t="shared" si="30"/>
        <v>0</v>
      </c>
      <c r="AT40" s="159">
        <f t="shared" si="13"/>
        <v>0</v>
      </c>
      <c r="AU40" s="159">
        <f t="shared" si="14"/>
        <v>0</v>
      </c>
      <c r="AV40" s="159">
        <f t="shared" si="15"/>
        <v>0</v>
      </c>
      <c r="AW40" s="159">
        <f t="shared" si="31"/>
        <v>0</v>
      </c>
      <c r="AX40" s="159">
        <f t="shared" si="32"/>
        <v>0</v>
      </c>
      <c r="AY40" s="159">
        <f t="shared" si="16"/>
        <v>0</v>
      </c>
      <c r="AZ40" s="159">
        <f>IF(AND(SUM($AQ$16:AQ39)&gt;0,SUM($AZ$16:AZ39)&lt;$P$62,$W40&gt;=$P$65),$P$64,0)</f>
        <v>60.75</v>
      </c>
      <c r="BA40" s="159">
        <f>IF(SUM($AQ$17:$AQ39)&gt;0,($P$62-SUM($AZ$17:$AZ39))*$F$65,0)</f>
        <v>2.7337499999999997</v>
      </c>
      <c r="BB40" s="160">
        <f t="shared" si="33"/>
        <v>0</v>
      </c>
      <c r="BC40" s="156">
        <f t="shared" si="34"/>
        <v>0</v>
      </c>
      <c r="BD40" s="157">
        <f t="shared" si="17"/>
        <v>0</v>
      </c>
      <c r="BE40" s="48"/>
      <c r="BF40" s="46">
        <f t="shared" si="35"/>
        <v>0.44306568938972818</v>
      </c>
      <c r="BH40" s="155">
        <f t="shared" si="36"/>
        <v>0</v>
      </c>
      <c r="BI40" s="155">
        <f t="shared" si="37"/>
        <v>0</v>
      </c>
      <c r="BJ40" s="156">
        <f t="shared" si="38"/>
        <v>0</v>
      </c>
      <c r="BK40" s="156">
        <f t="shared" si="39"/>
        <v>0</v>
      </c>
      <c r="BL40" s="156">
        <f t="shared" si="40"/>
        <v>0</v>
      </c>
      <c r="BM40" s="156">
        <f t="shared" si="18"/>
        <v>0</v>
      </c>
      <c r="BN40" s="157">
        <f t="shared" si="41"/>
        <v>0</v>
      </c>
      <c r="BO40" s="156">
        <f t="shared" si="19"/>
        <v>0</v>
      </c>
      <c r="BP40" s="156">
        <f t="shared" si="20"/>
        <v>0</v>
      </c>
      <c r="BQ40" s="156">
        <f t="shared" si="21"/>
        <v>0</v>
      </c>
      <c r="BR40" s="156">
        <f t="shared" si="22"/>
        <v>0</v>
      </c>
      <c r="BS40" s="228">
        <f t="shared" si="42"/>
        <v>0</v>
      </c>
      <c r="BT40" s="156">
        <f t="shared" si="23"/>
        <v>0</v>
      </c>
      <c r="BU40" s="157">
        <f t="shared" si="43"/>
        <v>0</v>
      </c>
      <c r="BV40" s="157">
        <f t="shared" si="24"/>
        <v>0</v>
      </c>
      <c r="BW40" s="153"/>
      <c r="BX40" s="158">
        <f t="shared" si="25"/>
        <v>0</v>
      </c>
      <c r="BY40" s="286">
        <f t="shared" si="44"/>
        <v>0</v>
      </c>
      <c r="CA40"/>
    </row>
    <row r="41" spans="2:79" ht="15.75" customHeight="1">
      <c r="C41" s="2" t="s">
        <v>72</v>
      </c>
      <c r="D41" t="s">
        <v>8</v>
      </c>
      <c r="F41" s="290">
        <f>事業費用概算!G27</f>
        <v>0</v>
      </c>
      <c r="H41" s="72"/>
      <c r="K41" t="s">
        <v>190</v>
      </c>
      <c r="N41" s="19" t="s">
        <v>8</v>
      </c>
      <c r="O41" s="21">
        <f>F40</f>
        <v>50</v>
      </c>
      <c r="P41" s="69">
        <f>F40*(1-F52)</f>
        <v>45</v>
      </c>
      <c r="Q41" t="s">
        <v>59</v>
      </c>
      <c r="V41" s="58">
        <f t="shared" si="26"/>
        <v>54513</v>
      </c>
      <c r="W41" s="26">
        <v>25</v>
      </c>
      <c r="X41" s="282" t="str">
        <f t="shared" si="27"/>
        <v>-</v>
      </c>
      <c r="Y41" s="161">
        <f t="shared" si="0"/>
        <v>0</v>
      </c>
      <c r="Z41" s="159">
        <f t="shared" si="1"/>
        <v>0</v>
      </c>
      <c r="AA41" s="159">
        <f t="shared" si="2"/>
        <v>0</v>
      </c>
      <c r="AB41" s="159">
        <f t="shared" si="3"/>
        <v>0</v>
      </c>
      <c r="AC41" s="160">
        <f t="shared" si="28"/>
        <v>0</v>
      </c>
      <c r="AD41" s="161">
        <f t="shared" si="4"/>
        <v>0</v>
      </c>
      <c r="AE41" s="159">
        <f t="shared" si="5"/>
        <v>0</v>
      </c>
      <c r="AF41" s="159">
        <f t="shared" si="6"/>
        <v>0</v>
      </c>
      <c r="AG41" s="159">
        <f>IF(AND(SUM($AA$16:AA40)&gt;0,SUM($AG$16:AG40)&lt;$O$62,$W41&gt;=$O$65),$O$64,0)</f>
        <v>64.125</v>
      </c>
      <c r="AH41" s="228">
        <f>IF(SUM($AA$17:$AA40)&gt;0,($O$62-SUM($AG$17:$AG40))*$E$65,0)</f>
        <v>1.9237499999999998</v>
      </c>
      <c r="AI41" s="160">
        <f t="shared" si="29"/>
        <v>0</v>
      </c>
      <c r="AJ41" s="156">
        <f t="shared" si="7"/>
        <v>0</v>
      </c>
      <c r="AK41" s="158">
        <f>(SUM($P$31,$P$51)-SUM($AU$17:AU40))*$O$109</f>
        <v>0</v>
      </c>
      <c r="AL41" s="163"/>
      <c r="AM41" s="157">
        <f t="shared" si="8"/>
        <v>0</v>
      </c>
      <c r="AN41" s="164"/>
      <c r="AO41" s="155">
        <f t="shared" si="9"/>
        <v>0</v>
      </c>
      <c r="AP41" s="156">
        <f t="shared" si="10"/>
        <v>0</v>
      </c>
      <c r="AQ41" s="156">
        <f t="shared" si="11"/>
        <v>0</v>
      </c>
      <c r="AR41" s="159">
        <f t="shared" si="12"/>
        <v>0</v>
      </c>
      <c r="AS41" s="160">
        <f t="shared" si="30"/>
        <v>0</v>
      </c>
      <c r="AT41" s="159">
        <f t="shared" si="13"/>
        <v>0</v>
      </c>
      <c r="AU41" s="159">
        <f t="shared" si="14"/>
        <v>0</v>
      </c>
      <c r="AV41" s="159">
        <f t="shared" si="15"/>
        <v>0</v>
      </c>
      <c r="AW41" s="159">
        <f t="shared" si="31"/>
        <v>0</v>
      </c>
      <c r="AX41" s="159">
        <f t="shared" si="32"/>
        <v>0</v>
      </c>
      <c r="AY41" s="159">
        <f t="shared" si="16"/>
        <v>0</v>
      </c>
      <c r="AZ41" s="159">
        <f>IF(AND(SUM($AQ$16:AQ40)&gt;0,SUM($AZ$16:AZ40)&lt;$P$62,$W41&gt;=$P$65),$P$64,0)</f>
        <v>60.75</v>
      </c>
      <c r="BA41" s="159">
        <f>IF(SUM($AQ$17:$AQ40)&gt;0,($P$62-SUM($AZ$17:$AZ40))*$F$65,0)</f>
        <v>1.8225</v>
      </c>
      <c r="BB41" s="160">
        <f t="shared" si="33"/>
        <v>0</v>
      </c>
      <c r="BC41" s="156">
        <f t="shared" si="34"/>
        <v>0</v>
      </c>
      <c r="BD41" s="157">
        <f t="shared" si="17"/>
        <v>0</v>
      </c>
      <c r="BE41" s="49"/>
      <c r="BF41" s="46">
        <f t="shared" si="35"/>
        <v>0.42828969491515534</v>
      </c>
      <c r="BH41" s="155">
        <f t="shared" si="36"/>
        <v>0</v>
      </c>
      <c r="BI41" s="155">
        <f t="shared" si="37"/>
        <v>0</v>
      </c>
      <c r="BJ41" s="156">
        <f t="shared" si="38"/>
        <v>0</v>
      </c>
      <c r="BK41" s="156">
        <f t="shared" si="39"/>
        <v>0</v>
      </c>
      <c r="BL41" s="156">
        <f t="shared" si="40"/>
        <v>0</v>
      </c>
      <c r="BM41" s="156">
        <f t="shared" si="18"/>
        <v>0</v>
      </c>
      <c r="BN41" s="157">
        <f t="shared" si="41"/>
        <v>0</v>
      </c>
      <c r="BO41" s="156">
        <f t="shared" si="19"/>
        <v>0</v>
      </c>
      <c r="BP41" s="156">
        <f t="shared" si="20"/>
        <v>0</v>
      </c>
      <c r="BQ41" s="156">
        <f t="shared" si="21"/>
        <v>0</v>
      </c>
      <c r="BR41" s="156">
        <f t="shared" si="22"/>
        <v>0</v>
      </c>
      <c r="BS41" s="228">
        <f t="shared" si="42"/>
        <v>0</v>
      </c>
      <c r="BT41" s="156">
        <f t="shared" si="23"/>
        <v>0</v>
      </c>
      <c r="BU41" s="157">
        <f t="shared" si="43"/>
        <v>0</v>
      </c>
      <c r="BV41" s="157">
        <f t="shared" si="24"/>
        <v>0</v>
      </c>
      <c r="BW41" s="153"/>
      <c r="BX41" s="158">
        <f t="shared" si="25"/>
        <v>0</v>
      </c>
      <c r="BY41" s="286">
        <f t="shared" si="44"/>
        <v>0</v>
      </c>
      <c r="CA41"/>
    </row>
    <row r="42" spans="2:79" ht="15.75" customHeight="1">
      <c r="C42" s="2" t="s">
        <v>71</v>
      </c>
      <c r="D42" t="s">
        <v>8</v>
      </c>
      <c r="F42" s="290">
        <f>事業費用概算!G28</f>
        <v>50</v>
      </c>
      <c r="K42" t="s">
        <v>21</v>
      </c>
      <c r="N42" s="19" t="s">
        <v>8</v>
      </c>
      <c r="O42" s="53"/>
      <c r="P42" s="69">
        <f>F56</f>
        <v>0</v>
      </c>
      <c r="Q42" t="s">
        <v>214</v>
      </c>
      <c r="V42" s="58">
        <f t="shared" si="26"/>
        <v>54878</v>
      </c>
      <c r="W42" s="26">
        <v>26</v>
      </c>
      <c r="X42" s="282" t="str">
        <f t="shared" si="27"/>
        <v>-</v>
      </c>
      <c r="Y42" s="161">
        <f t="shared" si="0"/>
        <v>0</v>
      </c>
      <c r="Z42" s="159">
        <f t="shared" si="1"/>
        <v>0</v>
      </c>
      <c r="AA42" s="159">
        <f t="shared" si="2"/>
        <v>0</v>
      </c>
      <c r="AB42" s="159">
        <f t="shared" si="3"/>
        <v>0</v>
      </c>
      <c r="AC42" s="160">
        <f t="shared" si="28"/>
        <v>0</v>
      </c>
      <c r="AD42" s="161">
        <f t="shared" si="4"/>
        <v>0</v>
      </c>
      <c r="AE42" s="159">
        <f t="shared" si="5"/>
        <v>0</v>
      </c>
      <c r="AF42" s="159">
        <f t="shared" si="6"/>
        <v>0</v>
      </c>
      <c r="AG42" s="159">
        <f>IF(AND(SUM($AA$16:AA41)&gt;0,SUM($AG$16:AG41)&lt;$O$62,$W42&gt;=$O$65),$O$64,0)</f>
        <v>64.125</v>
      </c>
      <c r="AH42" s="228">
        <f>IF(SUM($AA$17:$AA41)&gt;0,($O$62-SUM($AG$17:$AG41))*$E$65,0)</f>
        <v>0.96187499999999992</v>
      </c>
      <c r="AI42" s="160">
        <f t="shared" si="29"/>
        <v>0</v>
      </c>
      <c r="AJ42" s="156">
        <f t="shared" si="7"/>
        <v>0</v>
      </c>
      <c r="AK42" s="158">
        <f>(SUM($P$31,$P$51)-SUM($AU$17:AU41))*$O$109</f>
        <v>0</v>
      </c>
      <c r="AL42" s="163"/>
      <c r="AM42" s="157">
        <f t="shared" si="8"/>
        <v>0</v>
      </c>
      <c r="AN42" s="164"/>
      <c r="AO42" s="155">
        <f t="shared" si="9"/>
        <v>0</v>
      </c>
      <c r="AP42" s="156">
        <f t="shared" si="10"/>
        <v>0</v>
      </c>
      <c r="AQ42" s="156">
        <f t="shared" si="11"/>
        <v>0</v>
      </c>
      <c r="AR42" s="159">
        <f t="shared" si="12"/>
        <v>0</v>
      </c>
      <c r="AS42" s="160">
        <f t="shared" si="30"/>
        <v>0</v>
      </c>
      <c r="AT42" s="159">
        <f t="shared" si="13"/>
        <v>0</v>
      </c>
      <c r="AU42" s="159">
        <f t="shared" si="14"/>
        <v>0</v>
      </c>
      <c r="AV42" s="159">
        <f t="shared" si="15"/>
        <v>0</v>
      </c>
      <c r="AW42" s="159">
        <f t="shared" si="31"/>
        <v>0</v>
      </c>
      <c r="AX42" s="159">
        <f t="shared" si="32"/>
        <v>0</v>
      </c>
      <c r="AY42" s="159">
        <f t="shared" si="16"/>
        <v>0</v>
      </c>
      <c r="AZ42" s="159">
        <f>IF(AND(SUM($AQ$16:AQ41)&gt;0,SUM($AZ$16:AZ41)&lt;$P$62,$W42&gt;=$P$65),$P$64,0)</f>
        <v>60.75</v>
      </c>
      <c r="BA42" s="159">
        <f>IF(SUM($AQ$17:$AQ41)&gt;0,($P$62-SUM($AZ$17:$AZ41))*$F$65,0)</f>
        <v>0.91125</v>
      </c>
      <c r="BB42" s="160">
        <f t="shared" si="33"/>
        <v>0</v>
      </c>
      <c r="BC42" s="156">
        <f t="shared" si="34"/>
        <v>0</v>
      </c>
      <c r="BD42" s="157">
        <f t="shared" si="17"/>
        <v>0</v>
      </c>
      <c r="BE42" s="49"/>
      <c r="BF42" s="46">
        <f t="shared" si="35"/>
        <v>0.41400647164345611</v>
      </c>
      <c r="BH42" s="155">
        <f t="shared" si="36"/>
        <v>0</v>
      </c>
      <c r="BI42" s="155">
        <f t="shared" si="37"/>
        <v>0</v>
      </c>
      <c r="BJ42" s="156">
        <f t="shared" si="38"/>
        <v>0</v>
      </c>
      <c r="BK42" s="156">
        <f t="shared" si="39"/>
        <v>0</v>
      </c>
      <c r="BL42" s="156">
        <f t="shared" si="40"/>
        <v>0</v>
      </c>
      <c r="BM42" s="156">
        <f t="shared" si="18"/>
        <v>0</v>
      </c>
      <c r="BN42" s="157">
        <f t="shared" si="41"/>
        <v>0</v>
      </c>
      <c r="BO42" s="156">
        <f t="shared" si="19"/>
        <v>0</v>
      </c>
      <c r="BP42" s="156">
        <f t="shared" si="20"/>
        <v>0</v>
      </c>
      <c r="BQ42" s="156">
        <f t="shared" si="21"/>
        <v>0</v>
      </c>
      <c r="BR42" s="156">
        <f t="shared" si="22"/>
        <v>0</v>
      </c>
      <c r="BS42" s="228">
        <f t="shared" si="42"/>
        <v>0</v>
      </c>
      <c r="BT42" s="156">
        <f t="shared" si="23"/>
        <v>0</v>
      </c>
      <c r="BU42" s="157">
        <f t="shared" si="43"/>
        <v>0</v>
      </c>
      <c r="BV42" s="157">
        <f t="shared" si="24"/>
        <v>0</v>
      </c>
      <c r="BW42" s="153"/>
      <c r="BX42" s="158">
        <f t="shared" si="25"/>
        <v>0</v>
      </c>
      <c r="BY42" s="286">
        <f t="shared" si="44"/>
        <v>0</v>
      </c>
      <c r="CA42"/>
    </row>
    <row r="43" spans="2:79" ht="15.75" customHeight="1">
      <c r="B43" t="s">
        <v>217</v>
      </c>
      <c r="E43" s="19" t="s">
        <v>0</v>
      </c>
      <c r="F43" s="19" t="s">
        <v>1</v>
      </c>
      <c r="K43" t="s">
        <v>215</v>
      </c>
      <c r="N43" s="19" t="s">
        <v>8</v>
      </c>
      <c r="O43" s="69">
        <f>O41-O42</f>
        <v>50</v>
      </c>
      <c r="P43" s="69">
        <f>P41-P42</f>
        <v>45</v>
      </c>
      <c r="V43" s="58">
        <f t="shared" si="26"/>
        <v>55243</v>
      </c>
      <c r="W43" s="26">
        <v>27</v>
      </c>
      <c r="X43" s="282" t="str">
        <f t="shared" si="27"/>
        <v>-</v>
      </c>
      <c r="Y43" s="161">
        <f t="shared" si="0"/>
        <v>0</v>
      </c>
      <c r="Z43" s="159">
        <f t="shared" si="1"/>
        <v>0</v>
      </c>
      <c r="AA43" s="159">
        <f t="shared" si="2"/>
        <v>0</v>
      </c>
      <c r="AB43" s="159">
        <f t="shared" si="3"/>
        <v>0</v>
      </c>
      <c r="AC43" s="160">
        <f t="shared" si="28"/>
        <v>0</v>
      </c>
      <c r="AD43" s="161">
        <f t="shared" si="4"/>
        <v>0</v>
      </c>
      <c r="AE43" s="159">
        <f t="shared" si="5"/>
        <v>0</v>
      </c>
      <c r="AF43" s="159">
        <f t="shared" si="6"/>
        <v>0</v>
      </c>
      <c r="AG43" s="159">
        <f>IF(AND(SUM($AA$16:AA42)&gt;0,SUM($AG$16:AG42)&lt;$O$62,$W43&gt;=$O$65),$O$64,0)</f>
        <v>0</v>
      </c>
      <c r="AH43" s="228">
        <f>IF(SUM($AA$17:$AA42)&gt;0,($O$62-SUM($AG$17:$AG42))*$E$65,0)</f>
        <v>0</v>
      </c>
      <c r="AI43" s="160">
        <f t="shared" si="29"/>
        <v>0</v>
      </c>
      <c r="AJ43" s="156">
        <f t="shared" si="7"/>
        <v>0</v>
      </c>
      <c r="AK43" s="158">
        <f>(SUM($P$31,$P$51)-SUM($AU$17:AU42))*$O$109</f>
        <v>0</v>
      </c>
      <c r="AL43" s="163"/>
      <c r="AM43" s="157">
        <f t="shared" si="8"/>
        <v>0</v>
      </c>
      <c r="AN43" s="164"/>
      <c r="AO43" s="155">
        <f t="shared" si="9"/>
        <v>0</v>
      </c>
      <c r="AP43" s="156">
        <f t="shared" si="10"/>
        <v>0</v>
      </c>
      <c r="AQ43" s="156">
        <f t="shared" si="11"/>
        <v>0</v>
      </c>
      <c r="AR43" s="159">
        <f t="shared" si="12"/>
        <v>0</v>
      </c>
      <c r="AS43" s="160">
        <f t="shared" si="30"/>
        <v>0</v>
      </c>
      <c r="AT43" s="159">
        <f t="shared" si="13"/>
        <v>0</v>
      </c>
      <c r="AU43" s="159">
        <f t="shared" si="14"/>
        <v>0</v>
      </c>
      <c r="AV43" s="159">
        <f t="shared" si="15"/>
        <v>0</v>
      </c>
      <c r="AW43" s="159">
        <f t="shared" si="31"/>
        <v>0</v>
      </c>
      <c r="AX43" s="159">
        <f t="shared" si="32"/>
        <v>0</v>
      </c>
      <c r="AY43" s="159">
        <f t="shared" si="16"/>
        <v>0</v>
      </c>
      <c r="AZ43" s="159">
        <f>IF(AND(SUM($AQ$16:AQ42)&gt;0,SUM($AZ$16:AZ42)&lt;$P$62,$W43&gt;=$P$65),$P$64,0)</f>
        <v>0</v>
      </c>
      <c r="BA43" s="159">
        <f>IF(SUM($AQ$17:$AQ42)&gt;0,($P$62-SUM($AZ$17:$AZ42))*$F$65,0)</f>
        <v>0</v>
      </c>
      <c r="BB43" s="160">
        <f t="shared" si="33"/>
        <v>0</v>
      </c>
      <c r="BC43" s="156">
        <f t="shared" si="34"/>
        <v>0</v>
      </c>
      <c r="BD43" s="157">
        <f t="shared" si="17"/>
        <v>0</v>
      </c>
      <c r="BE43" s="49"/>
      <c r="BF43" s="46">
        <f t="shared" si="35"/>
        <v>0.40019958592890875</v>
      </c>
      <c r="BH43" s="155">
        <f t="shared" si="36"/>
        <v>0</v>
      </c>
      <c r="BI43" s="155">
        <f t="shared" si="37"/>
        <v>0</v>
      </c>
      <c r="BJ43" s="156">
        <f t="shared" si="38"/>
        <v>0</v>
      </c>
      <c r="BK43" s="156">
        <f t="shared" si="39"/>
        <v>0</v>
      </c>
      <c r="BL43" s="156">
        <f t="shared" si="40"/>
        <v>0</v>
      </c>
      <c r="BM43" s="156">
        <f t="shared" si="18"/>
        <v>0</v>
      </c>
      <c r="BN43" s="157">
        <f t="shared" si="41"/>
        <v>0</v>
      </c>
      <c r="BO43" s="156">
        <f t="shared" si="19"/>
        <v>0</v>
      </c>
      <c r="BP43" s="156">
        <f t="shared" si="20"/>
        <v>0</v>
      </c>
      <c r="BQ43" s="156">
        <f t="shared" si="21"/>
        <v>0</v>
      </c>
      <c r="BR43" s="156">
        <f t="shared" si="22"/>
        <v>0</v>
      </c>
      <c r="BS43" s="228">
        <f t="shared" si="42"/>
        <v>0</v>
      </c>
      <c r="BT43" s="156">
        <f t="shared" si="23"/>
        <v>0</v>
      </c>
      <c r="BU43" s="157">
        <f t="shared" si="43"/>
        <v>0</v>
      </c>
      <c r="BV43" s="157">
        <f t="shared" si="24"/>
        <v>0</v>
      </c>
      <c r="BW43" s="153"/>
      <c r="BX43" s="158">
        <f t="shared" si="25"/>
        <v>0</v>
      </c>
      <c r="BY43" s="286">
        <f t="shared" si="44"/>
        <v>0</v>
      </c>
      <c r="CA43"/>
    </row>
    <row r="44" spans="2:79" ht="15.75" customHeight="1">
      <c r="C44" s="275" t="s">
        <v>253</v>
      </c>
      <c r="D44" t="s">
        <v>8</v>
      </c>
      <c r="E44" s="276"/>
      <c r="F44" s="192">
        <v>25</v>
      </c>
      <c r="K44" t="s">
        <v>191</v>
      </c>
      <c r="N44" s="19" t="s">
        <v>8</v>
      </c>
      <c r="O44" s="21">
        <f>O41*$F$17</f>
        <v>1000</v>
      </c>
      <c r="P44" s="21">
        <f>P43*$F$17</f>
        <v>900</v>
      </c>
      <c r="V44" s="58">
        <f t="shared" si="26"/>
        <v>55609</v>
      </c>
      <c r="W44" s="26">
        <v>28</v>
      </c>
      <c r="X44" s="282" t="str">
        <f t="shared" si="27"/>
        <v>-</v>
      </c>
      <c r="Y44" s="161">
        <f t="shared" si="0"/>
        <v>0</v>
      </c>
      <c r="Z44" s="159">
        <f t="shared" si="1"/>
        <v>0</v>
      </c>
      <c r="AA44" s="159">
        <f t="shared" si="2"/>
        <v>0</v>
      </c>
      <c r="AB44" s="159">
        <f t="shared" si="3"/>
        <v>0</v>
      </c>
      <c r="AC44" s="160">
        <f t="shared" si="28"/>
        <v>0</v>
      </c>
      <c r="AD44" s="161">
        <f t="shared" si="4"/>
        <v>0</v>
      </c>
      <c r="AE44" s="159">
        <f t="shared" si="5"/>
        <v>0</v>
      </c>
      <c r="AF44" s="159">
        <f t="shared" si="6"/>
        <v>0</v>
      </c>
      <c r="AG44" s="159">
        <f>IF(AND(SUM($AA$16:AA43)&gt;0,SUM($AG$16:AG43)&lt;$O$62,$W44&gt;=$O$65),$O$64,0)</f>
        <v>0</v>
      </c>
      <c r="AH44" s="228">
        <f>IF(SUM($AA$17:$AA43)&gt;0,($O$62-SUM($AG$17:$AG43))*$E$65,0)</f>
        <v>0</v>
      </c>
      <c r="AI44" s="160">
        <f t="shared" si="29"/>
        <v>0</v>
      </c>
      <c r="AJ44" s="156">
        <f t="shared" si="7"/>
        <v>0</v>
      </c>
      <c r="AK44" s="158">
        <f>(SUM($P$31,$P$51)-SUM($AU$17:AU43))*$O$109</f>
        <v>0</v>
      </c>
      <c r="AL44" s="163"/>
      <c r="AM44" s="157">
        <f t="shared" si="8"/>
        <v>0</v>
      </c>
      <c r="AN44" s="164"/>
      <c r="AO44" s="155">
        <f t="shared" si="9"/>
        <v>0</v>
      </c>
      <c r="AP44" s="156">
        <f t="shared" si="10"/>
        <v>0</v>
      </c>
      <c r="AQ44" s="156">
        <f t="shared" si="11"/>
        <v>0</v>
      </c>
      <c r="AR44" s="159">
        <f t="shared" si="12"/>
        <v>0</v>
      </c>
      <c r="AS44" s="160">
        <f t="shared" si="30"/>
        <v>0</v>
      </c>
      <c r="AT44" s="159">
        <f t="shared" si="13"/>
        <v>0</v>
      </c>
      <c r="AU44" s="159">
        <f t="shared" si="14"/>
        <v>0</v>
      </c>
      <c r="AV44" s="159">
        <f t="shared" si="15"/>
        <v>0</v>
      </c>
      <c r="AW44" s="159">
        <f t="shared" si="31"/>
        <v>0</v>
      </c>
      <c r="AX44" s="159">
        <f t="shared" si="32"/>
        <v>0</v>
      </c>
      <c r="AY44" s="159">
        <f t="shared" si="16"/>
        <v>0</v>
      </c>
      <c r="AZ44" s="159">
        <f>IF(AND(SUM($AQ$16:AQ43)&gt;0,SUM($AZ$16:AZ43)&lt;$P$62,$W44&gt;=$P$65),$P$64,0)</f>
        <v>0</v>
      </c>
      <c r="BA44" s="159">
        <f>IF(SUM($AQ$17:$AQ43)&gt;0,($P$62-SUM($AZ$17:$AZ43))*$F$65,0)</f>
        <v>0</v>
      </c>
      <c r="BB44" s="160">
        <f t="shared" si="33"/>
        <v>0</v>
      </c>
      <c r="BC44" s="156">
        <f t="shared" si="34"/>
        <v>0</v>
      </c>
      <c r="BD44" s="157">
        <f t="shared" si="17"/>
        <v>0</v>
      </c>
      <c r="BE44" s="49"/>
      <c r="BF44" s="46">
        <f t="shared" si="35"/>
        <v>0.38685315217874217</v>
      </c>
      <c r="BH44" s="155">
        <f t="shared" si="36"/>
        <v>0</v>
      </c>
      <c r="BI44" s="155">
        <f t="shared" si="37"/>
        <v>0</v>
      </c>
      <c r="BJ44" s="156">
        <f t="shared" si="38"/>
        <v>0</v>
      </c>
      <c r="BK44" s="156">
        <f t="shared" si="39"/>
        <v>0</v>
      </c>
      <c r="BL44" s="156">
        <f t="shared" si="40"/>
        <v>0</v>
      </c>
      <c r="BM44" s="156">
        <f t="shared" si="18"/>
        <v>0</v>
      </c>
      <c r="BN44" s="157">
        <f t="shared" si="41"/>
        <v>0</v>
      </c>
      <c r="BO44" s="156">
        <f t="shared" si="19"/>
        <v>0</v>
      </c>
      <c r="BP44" s="156">
        <f t="shared" si="20"/>
        <v>0</v>
      </c>
      <c r="BQ44" s="156">
        <f t="shared" si="21"/>
        <v>0</v>
      </c>
      <c r="BR44" s="156">
        <f t="shared" si="22"/>
        <v>0</v>
      </c>
      <c r="BS44" s="228">
        <f t="shared" si="42"/>
        <v>0</v>
      </c>
      <c r="BT44" s="156">
        <f t="shared" si="23"/>
        <v>0</v>
      </c>
      <c r="BU44" s="157">
        <f t="shared" si="43"/>
        <v>0</v>
      </c>
      <c r="BV44" s="157">
        <f t="shared" si="24"/>
        <v>0</v>
      </c>
      <c r="BW44" s="153"/>
      <c r="BX44" s="158">
        <f t="shared" si="25"/>
        <v>0</v>
      </c>
      <c r="BY44" s="286">
        <f t="shared" si="44"/>
        <v>0</v>
      </c>
      <c r="CA44"/>
    </row>
    <row r="45" spans="2:79" ht="15.75" customHeight="1">
      <c r="C45" t="s">
        <v>254</v>
      </c>
      <c r="D45" t="s">
        <v>8</v>
      </c>
      <c r="E45" s="192">
        <v>10</v>
      </c>
      <c r="F45" s="192">
        <v>6</v>
      </c>
      <c r="V45" s="58">
        <f t="shared" si="26"/>
        <v>55974</v>
      </c>
      <c r="W45" s="26">
        <v>29</v>
      </c>
      <c r="X45" s="282" t="str">
        <f t="shared" si="27"/>
        <v>-</v>
      </c>
      <c r="Y45" s="161">
        <f t="shared" si="0"/>
        <v>0</v>
      </c>
      <c r="Z45" s="159">
        <f t="shared" si="1"/>
        <v>0</v>
      </c>
      <c r="AA45" s="159">
        <f t="shared" si="2"/>
        <v>0</v>
      </c>
      <c r="AB45" s="159">
        <f t="shared" si="3"/>
        <v>0</v>
      </c>
      <c r="AC45" s="160">
        <f t="shared" si="28"/>
        <v>0</v>
      </c>
      <c r="AD45" s="161">
        <f t="shared" si="4"/>
        <v>0</v>
      </c>
      <c r="AE45" s="159">
        <f t="shared" si="5"/>
        <v>0</v>
      </c>
      <c r="AF45" s="159">
        <f t="shared" si="6"/>
        <v>0</v>
      </c>
      <c r="AG45" s="159">
        <f>IF(AND(SUM($AA$16:AA44)&gt;0,SUM($AG$16:AG44)&lt;$O$62,$W45&gt;=$O$65),$O$64,0)</f>
        <v>0</v>
      </c>
      <c r="AH45" s="228">
        <f>IF(SUM($AA$17:$AA44)&gt;0,($O$62-SUM($AG$17:$AG44))*$E$65,0)</f>
        <v>0</v>
      </c>
      <c r="AI45" s="160">
        <f t="shared" si="29"/>
        <v>0</v>
      </c>
      <c r="AJ45" s="156">
        <f t="shared" si="7"/>
        <v>0</v>
      </c>
      <c r="AK45" s="158">
        <f>(SUM($P$31,$P$51)-SUM($AU$17:AU44))*$O$109</f>
        <v>0</v>
      </c>
      <c r="AL45" s="163"/>
      <c r="AM45" s="157">
        <f t="shared" si="8"/>
        <v>0</v>
      </c>
      <c r="AN45" s="164"/>
      <c r="AO45" s="155">
        <f t="shared" si="9"/>
        <v>0</v>
      </c>
      <c r="AP45" s="156">
        <f t="shared" si="10"/>
        <v>0</v>
      </c>
      <c r="AQ45" s="156">
        <f t="shared" si="11"/>
        <v>0</v>
      </c>
      <c r="AR45" s="159">
        <f t="shared" si="12"/>
        <v>0</v>
      </c>
      <c r="AS45" s="160">
        <f t="shared" si="30"/>
        <v>0</v>
      </c>
      <c r="AT45" s="159">
        <f t="shared" si="13"/>
        <v>0</v>
      </c>
      <c r="AU45" s="159">
        <f t="shared" si="14"/>
        <v>0</v>
      </c>
      <c r="AV45" s="159">
        <f t="shared" si="15"/>
        <v>0</v>
      </c>
      <c r="AW45" s="159">
        <f t="shared" si="31"/>
        <v>0</v>
      </c>
      <c r="AX45" s="159">
        <f t="shared" si="32"/>
        <v>0</v>
      </c>
      <c r="AY45" s="159">
        <f t="shared" si="16"/>
        <v>0</v>
      </c>
      <c r="AZ45" s="159">
        <f>IF(AND(SUM($AQ$16:AQ44)&gt;0,SUM($AZ$16:AZ44)&lt;$P$62,$W45&gt;=$P$65),$P$64,0)</f>
        <v>0</v>
      </c>
      <c r="BA45" s="159">
        <f>IF(SUM($AQ$17:$AQ44)&gt;0,($P$62-SUM($AZ$17:$AZ44))*$F$65,0)</f>
        <v>0</v>
      </c>
      <c r="BB45" s="160">
        <f t="shared" si="33"/>
        <v>0</v>
      </c>
      <c r="BC45" s="156">
        <f t="shared" si="34"/>
        <v>0</v>
      </c>
      <c r="BD45" s="157">
        <f t="shared" si="17"/>
        <v>0</v>
      </c>
      <c r="BE45" s="49"/>
      <c r="BF45" s="46">
        <f t="shared" si="35"/>
        <v>0.37395181457587451</v>
      </c>
      <c r="BH45" s="155">
        <f t="shared" si="36"/>
        <v>0</v>
      </c>
      <c r="BI45" s="155">
        <f t="shared" si="37"/>
        <v>0</v>
      </c>
      <c r="BJ45" s="156">
        <f t="shared" si="38"/>
        <v>0</v>
      </c>
      <c r="BK45" s="156">
        <f t="shared" si="39"/>
        <v>0</v>
      </c>
      <c r="BL45" s="156">
        <f t="shared" si="40"/>
        <v>0</v>
      </c>
      <c r="BM45" s="156">
        <f t="shared" si="18"/>
        <v>0</v>
      </c>
      <c r="BN45" s="157">
        <f t="shared" si="41"/>
        <v>0</v>
      </c>
      <c r="BO45" s="156">
        <f t="shared" si="19"/>
        <v>0</v>
      </c>
      <c r="BP45" s="156">
        <f t="shared" si="20"/>
        <v>0</v>
      </c>
      <c r="BQ45" s="156">
        <f t="shared" si="21"/>
        <v>0</v>
      </c>
      <c r="BR45" s="156">
        <f t="shared" si="22"/>
        <v>0</v>
      </c>
      <c r="BS45" s="228">
        <f t="shared" si="42"/>
        <v>0</v>
      </c>
      <c r="BT45" s="156">
        <f t="shared" si="23"/>
        <v>0</v>
      </c>
      <c r="BU45" s="157">
        <f t="shared" si="43"/>
        <v>0</v>
      </c>
      <c r="BV45" s="157">
        <f t="shared" si="24"/>
        <v>0</v>
      </c>
      <c r="BW45" s="153"/>
      <c r="BX45" s="158">
        <f t="shared" si="25"/>
        <v>0</v>
      </c>
      <c r="BY45" s="286">
        <f t="shared" si="44"/>
        <v>0</v>
      </c>
      <c r="CA45"/>
    </row>
    <row r="46" spans="2:79" ht="15.75" customHeight="1">
      <c r="B46" t="s">
        <v>224</v>
      </c>
      <c r="J46" s="4" t="s">
        <v>218</v>
      </c>
      <c r="V46" s="58">
        <f t="shared" si="26"/>
        <v>56339</v>
      </c>
      <c r="W46" s="26">
        <v>30</v>
      </c>
      <c r="X46" s="282" t="str">
        <f t="shared" si="27"/>
        <v>-</v>
      </c>
      <c r="Y46" s="161">
        <f t="shared" si="0"/>
        <v>0</v>
      </c>
      <c r="Z46" s="159">
        <f t="shared" si="1"/>
        <v>0</v>
      </c>
      <c r="AA46" s="159">
        <f t="shared" si="2"/>
        <v>0</v>
      </c>
      <c r="AB46" s="159">
        <f t="shared" si="3"/>
        <v>0</v>
      </c>
      <c r="AC46" s="160">
        <f t="shared" si="28"/>
        <v>0</v>
      </c>
      <c r="AD46" s="161">
        <f t="shared" si="4"/>
        <v>0</v>
      </c>
      <c r="AE46" s="159">
        <f t="shared" si="5"/>
        <v>0</v>
      </c>
      <c r="AF46" s="159">
        <f t="shared" si="6"/>
        <v>0</v>
      </c>
      <c r="AG46" s="159">
        <f>IF(AND(SUM($AA$16:AA45)&gt;0,SUM($AG$16:AG45)&lt;$O$62,$W46&gt;=$O$65),$O$64,0)</f>
        <v>0</v>
      </c>
      <c r="AH46" s="228">
        <f>IF(SUM($AA$17:$AA45)&gt;0,($O$62-SUM($AG$17:$AG45))*$E$65,0)</f>
        <v>0</v>
      </c>
      <c r="AI46" s="160">
        <f t="shared" si="29"/>
        <v>0</v>
      </c>
      <c r="AJ46" s="156">
        <f t="shared" si="7"/>
        <v>0</v>
      </c>
      <c r="AK46" s="158">
        <f>(SUM($P$31,$P$51)-SUM($AU$17:AU45))*$O$109</f>
        <v>0</v>
      </c>
      <c r="AL46" s="163"/>
      <c r="AM46" s="157">
        <f t="shared" si="8"/>
        <v>0</v>
      </c>
      <c r="AN46" s="164"/>
      <c r="AO46" s="155">
        <f t="shared" si="9"/>
        <v>0</v>
      </c>
      <c r="AP46" s="156">
        <f t="shared" si="10"/>
        <v>0</v>
      </c>
      <c r="AQ46" s="156">
        <f t="shared" si="11"/>
        <v>0</v>
      </c>
      <c r="AR46" s="159">
        <f t="shared" si="12"/>
        <v>0</v>
      </c>
      <c r="AS46" s="160">
        <f t="shared" si="30"/>
        <v>0</v>
      </c>
      <c r="AT46" s="159">
        <f t="shared" si="13"/>
        <v>0</v>
      </c>
      <c r="AU46" s="159">
        <f t="shared" si="14"/>
        <v>0</v>
      </c>
      <c r="AV46" s="159">
        <f t="shared" si="15"/>
        <v>0</v>
      </c>
      <c r="AW46" s="159">
        <f t="shared" si="31"/>
        <v>0</v>
      </c>
      <c r="AX46" s="159">
        <f t="shared" si="32"/>
        <v>0</v>
      </c>
      <c r="AY46" s="159">
        <f t="shared" si="16"/>
        <v>0</v>
      </c>
      <c r="AZ46" s="159">
        <f>IF(AND(SUM($AQ$16:AQ45)&gt;0,SUM($AZ$16:AZ45)&lt;$P$62,$W46&gt;=$P$65),$P$64,0)</f>
        <v>0</v>
      </c>
      <c r="BA46" s="159">
        <f>IF(SUM($AQ$17:$AQ45)&gt;0,($P$62-SUM($AZ$17:$AZ45))*$F$65,0)</f>
        <v>0</v>
      </c>
      <c r="BB46" s="160">
        <f t="shared" si="33"/>
        <v>0</v>
      </c>
      <c r="BC46" s="156">
        <f t="shared" si="34"/>
        <v>0</v>
      </c>
      <c r="BD46" s="157">
        <f t="shared" si="17"/>
        <v>0</v>
      </c>
      <c r="BE46" s="49"/>
      <c r="BF46" s="47">
        <f t="shared" si="35"/>
        <v>0.36148072941118853</v>
      </c>
      <c r="BH46" s="155">
        <f t="shared" si="36"/>
        <v>0</v>
      </c>
      <c r="BI46" s="155">
        <f t="shared" si="37"/>
        <v>0</v>
      </c>
      <c r="BJ46" s="156">
        <f t="shared" si="38"/>
        <v>0</v>
      </c>
      <c r="BK46" s="156">
        <f t="shared" si="39"/>
        <v>0</v>
      </c>
      <c r="BL46" s="156">
        <f t="shared" si="40"/>
        <v>0</v>
      </c>
      <c r="BM46" s="159">
        <f t="shared" si="18"/>
        <v>0</v>
      </c>
      <c r="BN46" s="160">
        <f t="shared" si="41"/>
        <v>0</v>
      </c>
      <c r="BO46" s="156">
        <f t="shared" si="19"/>
        <v>0</v>
      </c>
      <c r="BP46" s="156">
        <f t="shared" si="20"/>
        <v>0</v>
      </c>
      <c r="BQ46" s="156">
        <f t="shared" si="21"/>
        <v>0</v>
      </c>
      <c r="BR46" s="156">
        <f t="shared" si="22"/>
        <v>0</v>
      </c>
      <c r="BS46" s="228">
        <f t="shared" si="42"/>
        <v>0</v>
      </c>
      <c r="BT46" s="156">
        <f t="shared" si="23"/>
        <v>0</v>
      </c>
      <c r="BU46" s="160">
        <f t="shared" si="43"/>
        <v>0</v>
      </c>
      <c r="BV46" s="160">
        <f t="shared" si="24"/>
        <v>0</v>
      </c>
      <c r="BW46" s="153"/>
      <c r="BX46" s="158">
        <f t="shared" si="25"/>
        <v>0</v>
      </c>
      <c r="BY46" s="286">
        <f t="shared" si="44"/>
        <v>0</v>
      </c>
      <c r="CA46"/>
    </row>
    <row r="47" spans="2:79" ht="15.75" customHeight="1">
      <c r="F47" s="73">
        <v>1</v>
      </c>
      <c r="G47">
        <v>0</v>
      </c>
      <c r="H47" t="s">
        <v>162</v>
      </c>
      <c r="K47" t="s">
        <v>163</v>
      </c>
      <c r="V47" s="58">
        <f t="shared" ref="V47:V56" si="45">IF(W47=1,DATE(YEAR($F$18)+(MONTH($F$18)&gt;=4),4,0),EOMONTH(V46,12))</f>
        <v>56704</v>
      </c>
      <c r="W47" s="26">
        <v>31</v>
      </c>
      <c r="X47" s="282" t="str">
        <f t="shared" si="27"/>
        <v>-</v>
      </c>
      <c r="Y47" s="161">
        <f t="shared" si="0"/>
        <v>0</v>
      </c>
      <c r="Z47" s="159">
        <f t="shared" si="1"/>
        <v>0</v>
      </c>
      <c r="AA47" s="159">
        <f t="shared" si="2"/>
        <v>0</v>
      </c>
      <c r="AB47" s="159">
        <f t="shared" ref="AB47:AB56" si="46">IF(X47="維持管理・運営期間",$F$56,0)</f>
        <v>0</v>
      </c>
      <c r="AC47" s="160">
        <f t="shared" ref="AC47:AC56" si="47">SUM(Y47:Z47,AB47)</f>
        <v>0</v>
      </c>
      <c r="AD47" s="161">
        <f t="shared" si="4"/>
        <v>0</v>
      </c>
      <c r="AE47" s="159">
        <f t="shared" si="5"/>
        <v>0</v>
      </c>
      <c r="AF47" s="159">
        <f t="shared" ref="AF47:AF56" si="48">IF(AND($W47&gt;0,$W47&lt;=$O$16),$E$45,0)</f>
        <v>0</v>
      </c>
      <c r="AG47" s="159">
        <f>IF(AND(SUM($AA$16:AA46)&gt;0,SUM($AG$16:AG46)&lt;$O$62,$W47&gt;=$O$65),$O$64,0)</f>
        <v>0</v>
      </c>
      <c r="AH47" s="228">
        <f>IF(SUM($AA$17:$AA46)&gt;0,($O$62-SUM($AG$17:$AG46))*$E$65,0)</f>
        <v>0</v>
      </c>
      <c r="AI47" s="160">
        <f t="shared" ref="AI47:AI56" si="49">SUM(AD47:AF47)</f>
        <v>0</v>
      </c>
      <c r="AJ47" s="156">
        <f t="shared" ref="AJ47:AJ56" si="50">AC47-AI47</f>
        <v>0</v>
      </c>
      <c r="AK47" s="158">
        <f>(SUM($P$31,$P$51)-SUM($AU$17:AU46))*$O$109</f>
        <v>0</v>
      </c>
      <c r="AL47" s="163"/>
      <c r="AM47" s="157">
        <f t="shared" ref="AM47:AM56" si="51">AJ47*$BF47</f>
        <v>0</v>
      </c>
      <c r="AN47" s="164"/>
      <c r="AO47" s="155">
        <f t="shared" si="9"/>
        <v>0</v>
      </c>
      <c r="AP47" s="156">
        <f t="shared" si="10"/>
        <v>0</v>
      </c>
      <c r="AQ47" s="156">
        <f t="shared" si="11"/>
        <v>0</v>
      </c>
      <c r="AR47" s="159">
        <f t="shared" ref="AR47:AR56" si="52">IF($W47&lt;$O$16,IF(W47=$F$16,$U$92,$U$93),0)</f>
        <v>0</v>
      </c>
      <c r="AS47" s="160">
        <f t="shared" ref="AS47:AS56" si="53">SUM(AO47:AP47,AR47)</f>
        <v>0</v>
      </c>
      <c r="AT47" s="159">
        <f t="shared" ref="AT47:AT56" si="54">IF(W47=$F$16,$P$30,0)</f>
        <v>0</v>
      </c>
      <c r="AU47" s="159">
        <f t="shared" si="14"/>
        <v>0</v>
      </c>
      <c r="AV47" s="159">
        <f t="shared" si="15"/>
        <v>0</v>
      </c>
      <c r="AW47" s="159">
        <f t="shared" ref="AW47:AW56" si="55">IF(AND(W47&gt;$F$16,W47&lt;=SUM($F$16:$F$17)),$P$43,0)</f>
        <v>0</v>
      </c>
      <c r="AX47" s="159">
        <f t="shared" si="32"/>
        <v>0</v>
      </c>
      <c r="AY47" s="159">
        <f t="shared" si="16"/>
        <v>0</v>
      </c>
      <c r="AZ47" s="159">
        <f>IF(AND(SUM($AQ$16:AQ46)&gt;0,SUM($AZ$16:AZ46)&lt;$P$62,$W47&gt;=$P$65),$P$64,0)</f>
        <v>0</v>
      </c>
      <c r="BA47" s="159">
        <f>IF(SUM($AQ$17:$AQ46)&gt;0,($P$62-SUM($AZ$17:$AZ46))*$F$65,0)</f>
        <v>0</v>
      </c>
      <c r="BB47" s="160">
        <f t="shared" ref="BB47:BB56" si="56">SUM(AT47:AY47)</f>
        <v>0</v>
      </c>
      <c r="BC47" s="156">
        <f t="shared" ref="BC47:BC56" si="57">AS47-BB47</f>
        <v>0</v>
      </c>
      <c r="BD47" s="157">
        <f t="shared" ref="BD47:BD56" si="58">BC47*$BF47</f>
        <v>0</v>
      </c>
      <c r="BE47" s="49"/>
      <c r="BF47" s="47">
        <f t="shared" si="35"/>
        <v>0.34942554800501552</v>
      </c>
      <c r="BH47" s="155">
        <f t="shared" ref="BH47:BH56" si="59">AT47</f>
        <v>0</v>
      </c>
      <c r="BI47" s="155">
        <f t="shared" ref="BI47:BI56" si="60">AU47</f>
        <v>0</v>
      </c>
      <c r="BJ47" s="156">
        <f t="shared" ref="BJ47:BJ56" si="61">AV47</f>
        <v>0</v>
      </c>
      <c r="BK47" s="156">
        <f t="shared" ref="BK47:BK56" si="62">AW47</f>
        <v>0</v>
      </c>
      <c r="BL47" s="156">
        <f t="shared" ref="BL47:BL56" si="63">AY47</f>
        <v>0</v>
      </c>
      <c r="BM47" s="159">
        <f t="shared" ref="BM47:BM56" si="64">IF($W47&gt;$F$16,$F$56,0)</f>
        <v>0</v>
      </c>
      <c r="BN47" s="160">
        <f t="shared" ref="BN47:BN56" si="65">SUM(BH47:BM47)</f>
        <v>0</v>
      </c>
      <c r="BO47" s="156">
        <f t="shared" si="19"/>
        <v>0</v>
      </c>
      <c r="BP47" s="156">
        <f t="shared" ref="BP47:BP56" si="66">IF(AND(W47&gt;$F$16,W47&lt;=SUM($F$16:$F$17)),$P$41,0)</f>
        <v>0</v>
      </c>
      <c r="BQ47" s="156">
        <f t="shared" si="21"/>
        <v>0</v>
      </c>
      <c r="BR47" s="156">
        <f t="shared" ref="BR47:BR56" si="67">IF($W47&lt;=$O$16,$F$105,0)</f>
        <v>0</v>
      </c>
      <c r="BS47" s="228">
        <f t="shared" si="42"/>
        <v>0</v>
      </c>
      <c r="BT47" s="156">
        <f t="shared" ref="BT47:BT56" si="68">IF($W47&lt;$O$16,IF(W47=$F$16,$P$93,$P$94),0)</f>
        <v>0</v>
      </c>
      <c r="BU47" s="160">
        <f t="shared" ref="BU47:BU56" si="69">SUM(BO47:BP47,BR47:BT47)</f>
        <v>0</v>
      </c>
      <c r="BV47" s="160">
        <f t="shared" ref="BV47:BV56" si="70">BN47-BU47</f>
        <v>0</v>
      </c>
      <c r="BW47" s="153"/>
      <c r="BX47" s="158">
        <f t="shared" si="25"/>
        <v>0</v>
      </c>
      <c r="BY47" s="286">
        <f t="shared" si="44"/>
        <v>0</v>
      </c>
      <c r="CA47"/>
    </row>
    <row r="48" spans="2:79" ht="15.75" customHeight="1">
      <c r="G48">
        <v>1</v>
      </c>
      <c r="H48" t="s">
        <v>161</v>
      </c>
      <c r="I48" s="19"/>
      <c r="M48" t="s">
        <v>164</v>
      </c>
      <c r="N48" s="19" t="s">
        <v>8</v>
      </c>
      <c r="O48" s="53"/>
      <c r="P48" s="121">
        <f>F104</f>
        <v>0</v>
      </c>
      <c r="V48" s="58">
        <f t="shared" si="45"/>
        <v>57070</v>
      </c>
      <c r="W48" s="26">
        <v>32</v>
      </c>
      <c r="X48" s="282" t="str">
        <f t="shared" si="27"/>
        <v>-</v>
      </c>
      <c r="Y48" s="161">
        <f t="shared" si="0"/>
        <v>0</v>
      </c>
      <c r="Z48" s="159">
        <f t="shared" si="1"/>
        <v>0</v>
      </c>
      <c r="AA48" s="159">
        <f t="shared" si="2"/>
        <v>0</v>
      </c>
      <c r="AB48" s="159">
        <f t="shared" si="46"/>
        <v>0</v>
      </c>
      <c r="AC48" s="160">
        <f t="shared" si="47"/>
        <v>0</v>
      </c>
      <c r="AD48" s="161">
        <f t="shared" si="4"/>
        <v>0</v>
      </c>
      <c r="AE48" s="159">
        <f t="shared" si="5"/>
        <v>0</v>
      </c>
      <c r="AF48" s="159">
        <f t="shared" si="48"/>
        <v>0</v>
      </c>
      <c r="AG48" s="159">
        <f>IF(AND(SUM($AA$16:AA47)&gt;0,SUM($AG$16:AG47)&lt;$O$62,$W48&gt;=$O$65),$O$64,0)</f>
        <v>0</v>
      </c>
      <c r="AH48" s="228">
        <f>IF(SUM($AA$17:$AA47)&gt;0,($O$62-SUM($AG$17:$AG47))*$E$65,0)</f>
        <v>0</v>
      </c>
      <c r="AI48" s="160">
        <f t="shared" si="49"/>
        <v>0</v>
      </c>
      <c r="AJ48" s="156">
        <f t="shared" si="50"/>
        <v>0</v>
      </c>
      <c r="AK48" s="158">
        <f>(SUM($P$31,$P$51)-SUM($AU$17:AU47))*$O$109</f>
        <v>0</v>
      </c>
      <c r="AL48" s="163"/>
      <c r="AM48" s="157">
        <f t="shared" si="51"/>
        <v>0</v>
      </c>
      <c r="AN48" s="164"/>
      <c r="AO48" s="155">
        <f t="shared" si="9"/>
        <v>0</v>
      </c>
      <c r="AP48" s="156">
        <f t="shared" si="10"/>
        <v>0</v>
      </c>
      <c r="AQ48" s="156">
        <f t="shared" si="11"/>
        <v>0</v>
      </c>
      <c r="AR48" s="159">
        <f t="shared" si="52"/>
        <v>0</v>
      </c>
      <c r="AS48" s="160">
        <f t="shared" si="53"/>
        <v>0</v>
      </c>
      <c r="AT48" s="159">
        <f t="shared" si="54"/>
        <v>0</v>
      </c>
      <c r="AU48" s="159">
        <f t="shared" si="14"/>
        <v>0</v>
      </c>
      <c r="AV48" s="159">
        <f t="shared" si="15"/>
        <v>0</v>
      </c>
      <c r="AW48" s="159">
        <f t="shared" si="55"/>
        <v>0</v>
      </c>
      <c r="AX48" s="159">
        <f t="shared" si="32"/>
        <v>0</v>
      </c>
      <c r="AY48" s="159">
        <f t="shared" si="16"/>
        <v>0</v>
      </c>
      <c r="AZ48" s="159">
        <f>IF(AND(SUM($AQ$16:AQ47)&gt;0,SUM($AZ$16:AZ47)&lt;$P$62,$W48&gt;=$P$65),$P$64,0)</f>
        <v>0</v>
      </c>
      <c r="BA48" s="159">
        <f>IF(SUM($AQ$17:$AQ47)&gt;0,($P$62-SUM($AZ$17:$AZ47))*$F$65,0)</f>
        <v>0</v>
      </c>
      <c r="BB48" s="160">
        <f t="shared" si="56"/>
        <v>0</v>
      </c>
      <c r="BC48" s="156">
        <f t="shared" si="57"/>
        <v>0</v>
      </c>
      <c r="BD48" s="157">
        <f t="shared" si="58"/>
        <v>0</v>
      </c>
      <c r="BE48" s="49"/>
      <c r="BF48" s="47">
        <f t="shared" si="35"/>
        <v>0.33777240019817839</v>
      </c>
      <c r="BH48" s="155">
        <f t="shared" si="59"/>
        <v>0</v>
      </c>
      <c r="BI48" s="155">
        <f t="shared" si="60"/>
        <v>0</v>
      </c>
      <c r="BJ48" s="156">
        <f t="shared" si="61"/>
        <v>0</v>
      </c>
      <c r="BK48" s="156">
        <f t="shared" si="62"/>
        <v>0</v>
      </c>
      <c r="BL48" s="156">
        <f t="shared" si="63"/>
        <v>0</v>
      </c>
      <c r="BM48" s="159">
        <f t="shared" si="64"/>
        <v>0</v>
      </c>
      <c r="BN48" s="160">
        <f t="shared" si="65"/>
        <v>0</v>
      </c>
      <c r="BO48" s="156">
        <f t="shared" si="19"/>
        <v>0</v>
      </c>
      <c r="BP48" s="156">
        <f t="shared" si="66"/>
        <v>0</v>
      </c>
      <c r="BQ48" s="156">
        <f t="shared" si="21"/>
        <v>0</v>
      </c>
      <c r="BR48" s="156">
        <f t="shared" si="67"/>
        <v>0</v>
      </c>
      <c r="BS48" s="228">
        <f t="shared" si="42"/>
        <v>0</v>
      </c>
      <c r="BT48" s="156">
        <f t="shared" si="68"/>
        <v>0</v>
      </c>
      <c r="BU48" s="160">
        <f t="shared" si="69"/>
        <v>0</v>
      </c>
      <c r="BV48" s="160">
        <f t="shared" si="70"/>
        <v>0</v>
      </c>
      <c r="BW48" s="153"/>
      <c r="BX48" s="158">
        <f t="shared" si="25"/>
        <v>0</v>
      </c>
      <c r="BY48" s="286">
        <f t="shared" si="44"/>
        <v>0</v>
      </c>
    </row>
    <row r="49" spans="1:77" ht="15.75" customHeight="1">
      <c r="B49" s="93" t="s">
        <v>216</v>
      </c>
      <c r="M49" t="s">
        <v>169</v>
      </c>
      <c r="N49" s="19" t="s">
        <v>8</v>
      </c>
      <c r="O49" s="122"/>
      <c r="P49" s="123">
        <f>F105*$F$16</f>
        <v>0</v>
      </c>
      <c r="V49" s="58">
        <f t="shared" si="45"/>
        <v>57435</v>
      </c>
      <c r="W49" s="26">
        <v>33</v>
      </c>
      <c r="X49" s="282" t="str">
        <f t="shared" si="27"/>
        <v>-</v>
      </c>
      <c r="Y49" s="161">
        <f t="shared" si="0"/>
        <v>0</v>
      </c>
      <c r="Z49" s="159">
        <f t="shared" si="1"/>
        <v>0</v>
      </c>
      <c r="AA49" s="159">
        <f t="shared" si="2"/>
        <v>0</v>
      </c>
      <c r="AB49" s="159">
        <f t="shared" si="46"/>
        <v>0</v>
      </c>
      <c r="AC49" s="160">
        <f t="shared" si="47"/>
        <v>0</v>
      </c>
      <c r="AD49" s="161">
        <f t="shared" si="4"/>
        <v>0</v>
      </c>
      <c r="AE49" s="159">
        <f t="shared" si="5"/>
        <v>0</v>
      </c>
      <c r="AF49" s="159">
        <f t="shared" si="48"/>
        <v>0</v>
      </c>
      <c r="AG49" s="159">
        <f>IF(AND(SUM($AA$16:AA48)&gt;0,SUM($AG$16:AG48)&lt;$O$62,$W49&gt;=$O$65),$O$64,0)</f>
        <v>0</v>
      </c>
      <c r="AH49" s="228">
        <f>IF(SUM($AA$17:$AA48)&gt;0,($O$62-SUM($AG$17:$AG48))*$E$65,0)</f>
        <v>0</v>
      </c>
      <c r="AI49" s="160">
        <f t="shared" si="49"/>
        <v>0</v>
      </c>
      <c r="AJ49" s="156">
        <f t="shared" si="50"/>
        <v>0</v>
      </c>
      <c r="AK49" s="158">
        <f>(SUM($P$31,$P$51)-SUM($AU$17:AU48))*$O$109</f>
        <v>0</v>
      </c>
      <c r="AL49" s="163"/>
      <c r="AM49" s="157">
        <f t="shared" si="51"/>
        <v>0</v>
      </c>
      <c r="AN49" s="164"/>
      <c r="AO49" s="155">
        <f t="shared" si="9"/>
        <v>0</v>
      </c>
      <c r="AP49" s="156">
        <f t="shared" si="10"/>
        <v>0</v>
      </c>
      <c r="AQ49" s="156">
        <f t="shared" si="11"/>
        <v>0</v>
      </c>
      <c r="AR49" s="159">
        <f t="shared" si="52"/>
        <v>0</v>
      </c>
      <c r="AS49" s="160">
        <f t="shared" si="53"/>
        <v>0</v>
      </c>
      <c r="AT49" s="159">
        <f t="shared" si="54"/>
        <v>0</v>
      </c>
      <c r="AU49" s="159">
        <f t="shared" si="14"/>
        <v>0</v>
      </c>
      <c r="AV49" s="159">
        <f t="shared" si="15"/>
        <v>0</v>
      </c>
      <c r="AW49" s="159">
        <f t="shared" si="55"/>
        <v>0</v>
      </c>
      <c r="AX49" s="159">
        <f t="shared" si="32"/>
        <v>0</v>
      </c>
      <c r="AY49" s="159">
        <f t="shared" si="16"/>
        <v>0</v>
      </c>
      <c r="AZ49" s="159">
        <f>IF(AND(SUM($AQ$16:AQ48)&gt;0,SUM($AZ$16:AZ48)&lt;$P$62,$W49&gt;=$P$65),$P$64,0)</f>
        <v>0</v>
      </c>
      <c r="BA49" s="159">
        <f>IF(SUM($AQ$17:$AQ48)&gt;0,($P$62-SUM($AZ$17:$AZ48))*$F$65,0)</f>
        <v>0</v>
      </c>
      <c r="BB49" s="160">
        <f t="shared" si="56"/>
        <v>0</v>
      </c>
      <c r="BC49" s="156">
        <f t="shared" si="57"/>
        <v>0</v>
      </c>
      <c r="BD49" s="157">
        <f t="shared" si="58"/>
        <v>0</v>
      </c>
      <c r="BE49" s="49"/>
      <c r="BF49" s="47">
        <f t="shared" si="35"/>
        <v>0.32650787839359924</v>
      </c>
      <c r="BH49" s="155">
        <f t="shared" si="59"/>
        <v>0</v>
      </c>
      <c r="BI49" s="155">
        <f t="shared" si="60"/>
        <v>0</v>
      </c>
      <c r="BJ49" s="156">
        <f t="shared" si="61"/>
        <v>0</v>
      </c>
      <c r="BK49" s="156">
        <f t="shared" si="62"/>
        <v>0</v>
      </c>
      <c r="BL49" s="156">
        <f t="shared" si="63"/>
        <v>0</v>
      </c>
      <c r="BM49" s="159">
        <f t="shared" si="64"/>
        <v>0</v>
      </c>
      <c r="BN49" s="160">
        <f t="shared" si="65"/>
        <v>0</v>
      </c>
      <c r="BO49" s="156">
        <f t="shared" si="19"/>
        <v>0</v>
      </c>
      <c r="BP49" s="156">
        <f t="shared" si="66"/>
        <v>0</v>
      </c>
      <c r="BQ49" s="156">
        <f t="shared" si="21"/>
        <v>0</v>
      </c>
      <c r="BR49" s="156">
        <f t="shared" si="67"/>
        <v>0</v>
      </c>
      <c r="BS49" s="228">
        <f t="shared" si="42"/>
        <v>0</v>
      </c>
      <c r="BT49" s="156">
        <f t="shared" si="68"/>
        <v>0</v>
      </c>
      <c r="BU49" s="160">
        <f t="shared" si="69"/>
        <v>0</v>
      </c>
      <c r="BV49" s="160">
        <f t="shared" si="70"/>
        <v>0</v>
      </c>
      <c r="BW49" s="153"/>
      <c r="BX49" s="158">
        <f t="shared" si="25"/>
        <v>0</v>
      </c>
      <c r="BY49" s="286">
        <f t="shared" si="44"/>
        <v>0</v>
      </c>
    </row>
    <row r="50" spans="1:77" ht="15.75" customHeight="1" thickBot="1">
      <c r="C50" s="56" t="s">
        <v>115</v>
      </c>
      <c r="D50" t="s">
        <v>6</v>
      </c>
      <c r="F50" s="268">
        <v>0.95</v>
      </c>
      <c r="H50" s="56" t="s">
        <v>108</v>
      </c>
      <c r="M50" t="s">
        <v>171</v>
      </c>
      <c r="N50" s="19" t="s">
        <v>8</v>
      </c>
      <c r="O50" s="122"/>
      <c r="P50" s="123">
        <f>SUM(P82,P86)+P92</f>
        <v>0</v>
      </c>
      <c r="Q50" t="s">
        <v>172</v>
      </c>
      <c r="V50" s="58">
        <f t="shared" si="45"/>
        <v>57800</v>
      </c>
      <c r="W50" s="26">
        <v>34</v>
      </c>
      <c r="X50" s="282" t="str">
        <f t="shared" si="27"/>
        <v>-</v>
      </c>
      <c r="Y50" s="161">
        <f t="shared" si="0"/>
        <v>0</v>
      </c>
      <c r="Z50" s="159">
        <f t="shared" si="1"/>
        <v>0</v>
      </c>
      <c r="AA50" s="159">
        <f t="shared" si="2"/>
        <v>0</v>
      </c>
      <c r="AB50" s="159">
        <f t="shared" si="46"/>
        <v>0</v>
      </c>
      <c r="AC50" s="160">
        <f t="shared" si="47"/>
        <v>0</v>
      </c>
      <c r="AD50" s="161">
        <f t="shared" si="4"/>
        <v>0</v>
      </c>
      <c r="AE50" s="159">
        <f t="shared" si="5"/>
        <v>0</v>
      </c>
      <c r="AF50" s="159">
        <f t="shared" si="48"/>
        <v>0</v>
      </c>
      <c r="AG50" s="159">
        <f>IF(AND(SUM($AA$16:AA49)&gt;0,SUM($AG$16:AG49)&lt;$O$62,$W50&gt;=$O$65),$O$64,0)</f>
        <v>0</v>
      </c>
      <c r="AH50" s="228">
        <f>IF(SUM($AA$17:$AA49)&gt;0,($O$62-SUM($AG$17:$AG49))*$E$65,0)</f>
        <v>0</v>
      </c>
      <c r="AI50" s="160">
        <f t="shared" si="49"/>
        <v>0</v>
      </c>
      <c r="AJ50" s="156">
        <f t="shared" si="50"/>
        <v>0</v>
      </c>
      <c r="AK50" s="158">
        <f>(SUM($P$31,$P$51)-SUM($AU$17:AU49))*$O$109</f>
        <v>0</v>
      </c>
      <c r="AL50" s="163"/>
      <c r="AM50" s="157">
        <f t="shared" si="51"/>
        <v>0</v>
      </c>
      <c r="AN50" s="164"/>
      <c r="AO50" s="155">
        <f t="shared" si="9"/>
        <v>0</v>
      </c>
      <c r="AP50" s="156">
        <f t="shared" si="10"/>
        <v>0</v>
      </c>
      <c r="AQ50" s="156">
        <f t="shared" si="11"/>
        <v>0</v>
      </c>
      <c r="AR50" s="159">
        <f t="shared" si="52"/>
        <v>0</v>
      </c>
      <c r="AS50" s="160">
        <f t="shared" si="53"/>
        <v>0</v>
      </c>
      <c r="AT50" s="159">
        <f t="shared" si="54"/>
        <v>0</v>
      </c>
      <c r="AU50" s="159">
        <f t="shared" si="14"/>
        <v>0</v>
      </c>
      <c r="AV50" s="159">
        <f t="shared" si="15"/>
        <v>0</v>
      </c>
      <c r="AW50" s="159">
        <f t="shared" si="55"/>
        <v>0</v>
      </c>
      <c r="AX50" s="159">
        <f t="shared" si="32"/>
        <v>0</v>
      </c>
      <c r="AY50" s="159">
        <f t="shared" si="16"/>
        <v>0</v>
      </c>
      <c r="AZ50" s="159">
        <f>IF(AND(SUM($AQ$16:AQ49)&gt;0,SUM($AZ$16:AZ49)&lt;$P$62,$W50&gt;=$P$65),$P$64,0)</f>
        <v>0</v>
      </c>
      <c r="BA50" s="159">
        <f>IF(SUM($AQ$17:$AQ49)&gt;0,($P$62-SUM($AZ$17:$AZ49))*$F$65,0)</f>
        <v>0</v>
      </c>
      <c r="BB50" s="160">
        <f t="shared" si="56"/>
        <v>0</v>
      </c>
      <c r="BC50" s="156">
        <f t="shared" si="57"/>
        <v>0</v>
      </c>
      <c r="BD50" s="157">
        <f t="shared" si="58"/>
        <v>0</v>
      </c>
      <c r="BE50" s="49"/>
      <c r="BF50" s="47">
        <f t="shared" si="35"/>
        <v>0.31561902213011045</v>
      </c>
      <c r="BH50" s="155">
        <f t="shared" si="59"/>
        <v>0</v>
      </c>
      <c r="BI50" s="155">
        <f t="shared" si="60"/>
        <v>0</v>
      </c>
      <c r="BJ50" s="156">
        <f t="shared" si="61"/>
        <v>0</v>
      </c>
      <c r="BK50" s="156">
        <f t="shared" si="62"/>
        <v>0</v>
      </c>
      <c r="BL50" s="156">
        <f t="shared" si="63"/>
        <v>0</v>
      </c>
      <c r="BM50" s="159">
        <f t="shared" si="64"/>
        <v>0</v>
      </c>
      <c r="BN50" s="160">
        <f t="shared" si="65"/>
        <v>0</v>
      </c>
      <c r="BO50" s="156">
        <f t="shared" si="19"/>
        <v>0</v>
      </c>
      <c r="BP50" s="156">
        <f t="shared" si="66"/>
        <v>0</v>
      </c>
      <c r="BQ50" s="156">
        <f t="shared" si="21"/>
        <v>0</v>
      </c>
      <c r="BR50" s="156">
        <f t="shared" si="67"/>
        <v>0</v>
      </c>
      <c r="BS50" s="228">
        <f t="shared" si="42"/>
        <v>0</v>
      </c>
      <c r="BT50" s="156">
        <f t="shared" si="68"/>
        <v>0</v>
      </c>
      <c r="BU50" s="160">
        <f t="shared" si="69"/>
        <v>0</v>
      </c>
      <c r="BV50" s="160">
        <f t="shared" si="70"/>
        <v>0</v>
      </c>
      <c r="BW50" s="153"/>
      <c r="BX50" s="158">
        <f t="shared" si="25"/>
        <v>0</v>
      </c>
      <c r="BY50" s="286">
        <f t="shared" si="44"/>
        <v>0</v>
      </c>
    </row>
    <row r="51" spans="1:77" ht="15.75" customHeight="1" thickBot="1">
      <c r="B51" s="56"/>
      <c r="C51" s="56" t="s">
        <v>116</v>
      </c>
      <c r="D51" t="s">
        <v>6</v>
      </c>
      <c r="F51" s="199">
        <f>事業費用概算!H32</f>
        <v>0.1</v>
      </c>
      <c r="K51" s="124" t="s">
        <v>176</v>
      </c>
      <c r="L51" s="125"/>
      <c r="M51" s="125"/>
      <c r="N51" s="126" t="s">
        <v>8</v>
      </c>
      <c r="O51" s="127"/>
      <c r="P51" s="128">
        <f>SUM(P48:P49)*$F$47</f>
        <v>0</v>
      </c>
      <c r="Q51" t="s">
        <v>166</v>
      </c>
      <c r="V51" s="58">
        <f t="shared" si="45"/>
        <v>58165</v>
      </c>
      <c r="W51" s="26">
        <v>35</v>
      </c>
      <c r="X51" s="282" t="str">
        <f t="shared" si="27"/>
        <v>-</v>
      </c>
      <c r="Y51" s="161">
        <f t="shared" si="0"/>
        <v>0</v>
      </c>
      <c r="Z51" s="159">
        <f t="shared" si="1"/>
        <v>0</v>
      </c>
      <c r="AA51" s="159">
        <f t="shared" si="2"/>
        <v>0</v>
      </c>
      <c r="AB51" s="159">
        <f t="shared" si="46"/>
        <v>0</v>
      </c>
      <c r="AC51" s="160">
        <f t="shared" si="47"/>
        <v>0</v>
      </c>
      <c r="AD51" s="161">
        <f t="shared" si="4"/>
        <v>0</v>
      </c>
      <c r="AE51" s="159">
        <f t="shared" si="5"/>
        <v>0</v>
      </c>
      <c r="AF51" s="159">
        <f t="shared" si="48"/>
        <v>0</v>
      </c>
      <c r="AG51" s="159">
        <f>IF(AND(SUM($AA$16:AA50)&gt;0,SUM($AG$16:AG50)&lt;$O$62,$W51&gt;=$O$65),$O$64,0)</f>
        <v>0</v>
      </c>
      <c r="AH51" s="228">
        <f>IF(SUM($AA$17:$AA50)&gt;0,($O$62-SUM($AG$17:$AG50))*$E$65,0)</f>
        <v>0</v>
      </c>
      <c r="AI51" s="160">
        <f t="shared" si="49"/>
        <v>0</v>
      </c>
      <c r="AJ51" s="156">
        <f t="shared" si="50"/>
        <v>0</v>
      </c>
      <c r="AK51" s="158">
        <f>(SUM($P$31,$P$51)-SUM($AU$17:AU50))*$O$109</f>
        <v>0</v>
      </c>
      <c r="AL51" s="163"/>
      <c r="AM51" s="157">
        <f t="shared" si="51"/>
        <v>0</v>
      </c>
      <c r="AN51" s="164"/>
      <c r="AO51" s="155">
        <f t="shared" si="9"/>
        <v>0</v>
      </c>
      <c r="AP51" s="156">
        <f t="shared" si="10"/>
        <v>0</v>
      </c>
      <c r="AQ51" s="156">
        <f t="shared" si="11"/>
        <v>0</v>
      </c>
      <c r="AR51" s="159">
        <f t="shared" si="52"/>
        <v>0</v>
      </c>
      <c r="AS51" s="160">
        <f t="shared" si="53"/>
        <v>0</v>
      </c>
      <c r="AT51" s="159">
        <f t="shared" si="54"/>
        <v>0</v>
      </c>
      <c r="AU51" s="159">
        <f t="shared" si="14"/>
        <v>0</v>
      </c>
      <c r="AV51" s="159">
        <f t="shared" si="15"/>
        <v>0</v>
      </c>
      <c r="AW51" s="159">
        <f t="shared" si="55"/>
        <v>0</v>
      </c>
      <c r="AX51" s="159">
        <f t="shared" si="32"/>
        <v>0</v>
      </c>
      <c r="AY51" s="159">
        <f t="shared" si="16"/>
        <v>0</v>
      </c>
      <c r="AZ51" s="159">
        <f>IF(AND(SUM($AQ$16:AQ50)&gt;0,SUM($AZ$16:AZ50)&lt;$P$62,$W51&gt;=$P$65),$P$64,0)</f>
        <v>0</v>
      </c>
      <c r="BA51" s="159">
        <f>IF(SUM($AQ$17:$AQ50)&gt;0,($P$62-SUM($AZ$17:$AZ50))*$F$65,0)</f>
        <v>0</v>
      </c>
      <c r="BB51" s="160">
        <f t="shared" si="56"/>
        <v>0</v>
      </c>
      <c r="BC51" s="156">
        <f t="shared" si="57"/>
        <v>0</v>
      </c>
      <c r="BD51" s="157">
        <f t="shared" si="58"/>
        <v>0</v>
      </c>
      <c r="BE51" s="49"/>
      <c r="BF51" s="47">
        <f t="shared" si="35"/>
        <v>0.30509330317072059</v>
      </c>
      <c r="BH51" s="155">
        <f t="shared" si="59"/>
        <v>0</v>
      </c>
      <c r="BI51" s="155">
        <f t="shared" si="60"/>
        <v>0</v>
      </c>
      <c r="BJ51" s="156">
        <f t="shared" si="61"/>
        <v>0</v>
      </c>
      <c r="BK51" s="156">
        <f t="shared" si="62"/>
        <v>0</v>
      </c>
      <c r="BL51" s="156">
        <f t="shared" si="63"/>
        <v>0</v>
      </c>
      <c r="BM51" s="159">
        <f t="shared" si="64"/>
        <v>0</v>
      </c>
      <c r="BN51" s="160">
        <f t="shared" si="65"/>
        <v>0</v>
      </c>
      <c r="BO51" s="156">
        <f t="shared" si="19"/>
        <v>0</v>
      </c>
      <c r="BP51" s="156">
        <f t="shared" si="66"/>
        <v>0</v>
      </c>
      <c r="BQ51" s="156">
        <f t="shared" si="21"/>
        <v>0</v>
      </c>
      <c r="BR51" s="156">
        <f t="shared" si="67"/>
        <v>0</v>
      </c>
      <c r="BS51" s="228">
        <f t="shared" si="42"/>
        <v>0</v>
      </c>
      <c r="BT51" s="156">
        <f t="shared" si="68"/>
        <v>0</v>
      </c>
      <c r="BU51" s="160">
        <f t="shared" si="69"/>
        <v>0</v>
      </c>
      <c r="BV51" s="160">
        <f t="shared" si="70"/>
        <v>0</v>
      </c>
      <c r="BW51" s="153"/>
      <c r="BX51" s="158">
        <f t="shared" si="25"/>
        <v>0</v>
      </c>
      <c r="BY51" s="286">
        <f t="shared" si="44"/>
        <v>0</v>
      </c>
    </row>
    <row r="52" spans="1:77" ht="15.75" customHeight="1">
      <c r="B52" s="56"/>
      <c r="C52" s="56" t="s">
        <v>117</v>
      </c>
      <c r="D52" t="s">
        <v>6</v>
      </c>
      <c r="F52" s="199">
        <f>事業費用概算!H33</f>
        <v>0.1</v>
      </c>
      <c r="M52" t="s">
        <v>165</v>
      </c>
      <c r="N52" s="19" t="s">
        <v>8</v>
      </c>
      <c r="O52" s="129"/>
      <c r="P52" s="130">
        <f>F105</f>
        <v>0</v>
      </c>
      <c r="V52" s="58">
        <f t="shared" si="45"/>
        <v>58531</v>
      </c>
      <c r="W52" s="26">
        <v>36</v>
      </c>
      <c r="X52" s="282" t="str">
        <f t="shared" si="27"/>
        <v>-</v>
      </c>
      <c r="Y52" s="161">
        <f t="shared" si="0"/>
        <v>0</v>
      </c>
      <c r="Z52" s="159">
        <f t="shared" si="1"/>
        <v>0</v>
      </c>
      <c r="AA52" s="159">
        <f t="shared" si="2"/>
        <v>0</v>
      </c>
      <c r="AB52" s="159">
        <f t="shared" si="46"/>
        <v>0</v>
      </c>
      <c r="AC52" s="160">
        <f t="shared" si="47"/>
        <v>0</v>
      </c>
      <c r="AD52" s="161">
        <f t="shared" si="4"/>
        <v>0</v>
      </c>
      <c r="AE52" s="159">
        <f t="shared" si="5"/>
        <v>0</v>
      </c>
      <c r="AF52" s="159">
        <f t="shared" si="48"/>
        <v>0</v>
      </c>
      <c r="AG52" s="159">
        <f>IF(AND(SUM($AA$16:AA51)&gt;0,SUM($AG$16:AG51)&lt;$O$62,$W52&gt;=$O$65),$O$64,0)</f>
        <v>0</v>
      </c>
      <c r="AH52" s="228">
        <f>IF(SUM($AA$17:$AA51)&gt;0,($O$62-SUM($AG$17:$AG51))*$E$65,0)</f>
        <v>0</v>
      </c>
      <c r="AI52" s="160">
        <f t="shared" si="49"/>
        <v>0</v>
      </c>
      <c r="AJ52" s="156">
        <f t="shared" si="50"/>
        <v>0</v>
      </c>
      <c r="AK52" s="158">
        <f>(SUM($P$31,$P$51)-SUM($AU$17:AU51))*$O$109</f>
        <v>0</v>
      </c>
      <c r="AL52" s="163"/>
      <c r="AM52" s="157">
        <f t="shared" si="51"/>
        <v>0</v>
      </c>
      <c r="AN52" s="164"/>
      <c r="AO52" s="155">
        <f t="shared" si="9"/>
        <v>0</v>
      </c>
      <c r="AP52" s="156">
        <f t="shared" si="10"/>
        <v>0</v>
      </c>
      <c r="AQ52" s="156">
        <f t="shared" si="11"/>
        <v>0</v>
      </c>
      <c r="AR52" s="159">
        <f t="shared" si="52"/>
        <v>0</v>
      </c>
      <c r="AS52" s="160">
        <f t="shared" si="53"/>
        <v>0</v>
      </c>
      <c r="AT52" s="159">
        <f t="shared" si="54"/>
        <v>0</v>
      </c>
      <c r="AU52" s="159">
        <f t="shared" si="14"/>
        <v>0</v>
      </c>
      <c r="AV52" s="159">
        <f t="shared" si="15"/>
        <v>0</v>
      </c>
      <c r="AW52" s="159">
        <f t="shared" si="55"/>
        <v>0</v>
      </c>
      <c r="AX52" s="159">
        <f t="shared" si="32"/>
        <v>0</v>
      </c>
      <c r="AY52" s="159">
        <f t="shared" si="16"/>
        <v>0</v>
      </c>
      <c r="AZ52" s="159">
        <f>IF(AND(SUM($AQ$16:AQ51)&gt;0,SUM($AZ$16:AZ51)&lt;$P$62,$W52&gt;=$P$65),$P$64,0)</f>
        <v>0</v>
      </c>
      <c r="BA52" s="159">
        <f>IF(SUM($AQ$17:$AQ51)&gt;0,($P$62-SUM($AZ$17:$AZ51))*$F$65,0)</f>
        <v>0</v>
      </c>
      <c r="BB52" s="160">
        <f t="shared" si="56"/>
        <v>0</v>
      </c>
      <c r="BC52" s="156">
        <f t="shared" si="57"/>
        <v>0</v>
      </c>
      <c r="BD52" s="157">
        <f t="shared" si="58"/>
        <v>0</v>
      </c>
      <c r="BE52" s="49"/>
      <c r="BF52" s="47">
        <f t="shared" si="35"/>
        <v>0.29491861108817846</v>
      </c>
      <c r="BH52" s="155">
        <f t="shared" si="59"/>
        <v>0</v>
      </c>
      <c r="BI52" s="155">
        <f t="shared" si="60"/>
        <v>0</v>
      </c>
      <c r="BJ52" s="156">
        <f t="shared" si="61"/>
        <v>0</v>
      </c>
      <c r="BK52" s="156">
        <f t="shared" si="62"/>
        <v>0</v>
      </c>
      <c r="BL52" s="156">
        <f t="shared" si="63"/>
        <v>0</v>
      </c>
      <c r="BM52" s="159">
        <f t="shared" si="64"/>
        <v>0</v>
      </c>
      <c r="BN52" s="160">
        <f t="shared" si="65"/>
        <v>0</v>
      </c>
      <c r="BO52" s="156">
        <f t="shared" si="19"/>
        <v>0</v>
      </c>
      <c r="BP52" s="156">
        <f t="shared" si="66"/>
        <v>0</v>
      </c>
      <c r="BQ52" s="156">
        <f t="shared" si="21"/>
        <v>0</v>
      </c>
      <c r="BR52" s="156">
        <f t="shared" si="67"/>
        <v>0</v>
      </c>
      <c r="BS52" s="228">
        <f t="shared" si="42"/>
        <v>0</v>
      </c>
      <c r="BT52" s="156">
        <f t="shared" si="68"/>
        <v>0</v>
      </c>
      <c r="BU52" s="160">
        <f t="shared" si="69"/>
        <v>0</v>
      </c>
      <c r="BV52" s="160">
        <f t="shared" si="70"/>
        <v>0</v>
      </c>
      <c r="BW52" s="153"/>
      <c r="BX52" s="158">
        <f t="shared" si="25"/>
        <v>0</v>
      </c>
      <c r="BY52" s="286">
        <f t="shared" si="44"/>
        <v>0</v>
      </c>
    </row>
    <row r="53" spans="1:77" ht="15.75" customHeight="1" thickBot="1">
      <c r="M53" t="s">
        <v>170</v>
      </c>
      <c r="N53" s="19" t="s">
        <v>8</v>
      </c>
      <c r="O53" s="129"/>
      <c r="P53" s="131">
        <f>P94</f>
        <v>0</v>
      </c>
      <c r="V53" s="58">
        <f t="shared" si="45"/>
        <v>58896</v>
      </c>
      <c r="W53" s="26">
        <v>37</v>
      </c>
      <c r="X53" s="282" t="str">
        <f t="shared" si="27"/>
        <v>-</v>
      </c>
      <c r="Y53" s="161">
        <f t="shared" si="0"/>
        <v>0</v>
      </c>
      <c r="Z53" s="159">
        <f t="shared" si="1"/>
        <v>0</v>
      </c>
      <c r="AA53" s="159">
        <f t="shared" si="2"/>
        <v>0</v>
      </c>
      <c r="AB53" s="159">
        <f t="shared" si="46"/>
        <v>0</v>
      </c>
      <c r="AC53" s="160">
        <f t="shared" si="47"/>
        <v>0</v>
      </c>
      <c r="AD53" s="161">
        <f t="shared" si="4"/>
        <v>0</v>
      </c>
      <c r="AE53" s="159">
        <f t="shared" si="5"/>
        <v>0</v>
      </c>
      <c r="AF53" s="159">
        <f t="shared" si="48"/>
        <v>0</v>
      </c>
      <c r="AG53" s="159">
        <f>IF(AND(SUM($AA$16:AA52)&gt;0,SUM($AG$16:AG52)&lt;$O$62,$W53&gt;=$O$65),$O$64,0)</f>
        <v>0</v>
      </c>
      <c r="AH53" s="228">
        <f>IF(SUM($AA$17:$AA52)&gt;0,($O$62-SUM($AG$17:$AG52))*$E$65,0)</f>
        <v>0</v>
      </c>
      <c r="AI53" s="160">
        <f t="shared" si="49"/>
        <v>0</v>
      </c>
      <c r="AJ53" s="156">
        <f t="shared" si="50"/>
        <v>0</v>
      </c>
      <c r="AK53" s="158">
        <f>(SUM($P$31,$P$51)-SUM($AU$17:AU52))*$O$109</f>
        <v>0</v>
      </c>
      <c r="AL53" s="163"/>
      <c r="AM53" s="157">
        <f t="shared" si="51"/>
        <v>0</v>
      </c>
      <c r="AN53" s="164"/>
      <c r="AO53" s="155">
        <f t="shared" si="9"/>
        <v>0</v>
      </c>
      <c r="AP53" s="156">
        <f t="shared" si="10"/>
        <v>0</v>
      </c>
      <c r="AQ53" s="156">
        <f t="shared" si="11"/>
        <v>0</v>
      </c>
      <c r="AR53" s="159">
        <f t="shared" si="52"/>
        <v>0</v>
      </c>
      <c r="AS53" s="160">
        <f t="shared" si="53"/>
        <v>0</v>
      </c>
      <c r="AT53" s="159">
        <f t="shared" si="54"/>
        <v>0</v>
      </c>
      <c r="AU53" s="159">
        <f t="shared" si="14"/>
        <v>0</v>
      </c>
      <c r="AV53" s="159">
        <f t="shared" si="15"/>
        <v>0</v>
      </c>
      <c r="AW53" s="159">
        <f t="shared" si="55"/>
        <v>0</v>
      </c>
      <c r="AX53" s="159">
        <f t="shared" si="32"/>
        <v>0</v>
      </c>
      <c r="AY53" s="159">
        <f t="shared" si="16"/>
        <v>0</v>
      </c>
      <c r="AZ53" s="159">
        <f>IF(AND(SUM($AQ$16:AQ52)&gt;0,SUM($AZ$16:AZ52)&lt;$P$62,$W53&gt;=$P$65),$P$64,0)</f>
        <v>0</v>
      </c>
      <c r="BA53" s="159">
        <f>IF(SUM($AQ$17:$AQ52)&gt;0,($P$62-SUM($AZ$17:$AZ52))*$F$65,0)</f>
        <v>0</v>
      </c>
      <c r="BB53" s="160">
        <f t="shared" si="56"/>
        <v>0</v>
      </c>
      <c r="BC53" s="156">
        <f t="shared" si="57"/>
        <v>0</v>
      </c>
      <c r="BD53" s="157">
        <f t="shared" si="58"/>
        <v>0</v>
      </c>
      <c r="BE53" s="49"/>
      <c r="BF53" s="47">
        <f t="shared" si="35"/>
        <v>0.28508323933125035</v>
      </c>
      <c r="BH53" s="155">
        <f t="shared" si="59"/>
        <v>0</v>
      </c>
      <c r="BI53" s="155">
        <f t="shared" si="60"/>
        <v>0</v>
      </c>
      <c r="BJ53" s="156">
        <f t="shared" si="61"/>
        <v>0</v>
      </c>
      <c r="BK53" s="156">
        <f t="shared" si="62"/>
        <v>0</v>
      </c>
      <c r="BL53" s="156">
        <f t="shared" si="63"/>
        <v>0</v>
      </c>
      <c r="BM53" s="159">
        <f t="shared" si="64"/>
        <v>0</v>
      </c>
      <c r="BN53" s="160">
        <f t="shared" si="65"/>
        <v>0</v>
      </c>
      <c r="BO53" s="156">
        <f t="shared" si="19"/>
        <v>0</v>
      </c>
      <c r="BP53" s="156">
        <f t="shared" si="66"/>
        <v>0</v>
      </c>
      <c r="BQ53" s="156">
        <f t="shared" si="21"/>
        <v>0</v>
      </c>
      <c r="BR53" s="156">
        <f t="shared" si="67"/>
        <v>0</v>
      </c>
      <c r="BS53" s="228">
        <f t="shared" si="42"/>
        <v>0</v>
      </c>
      <c r="BT53" s="156">
        <f t="shared" si="68"/>
        <v>0</v>
      </c>
      <c r="BU53" s="160">
        <f t="shared" si="69"/>
        <v>0</v>
      </c>
      <c r="BV53" s="160">
        <f t="shared" si="70"/>
        <v>0</v>
      </c>
      <c r="BW53" s="153"/>
      <c r="BX53" s="158">
        <f t="shared" si="25"/>
        <v>0</v>
      </c>
      <c r="BY53" s="286">
        <f t="shared" si="44"/>
        <v>0</v>
      </c>
    </row>
    <row r="54" spans="1:77" ht="15.75" customHeight="1" thickBot="1">
      <c r="A54" s="4" t="s">
        <v>119</v>
      </c>
      <c r="K54" s="124" t="s">
        <v>177</v>
      </c>
      <c r="L54" s="125"/>
      <c r="M54" s="125"/>
      <c r="N54" s="126" t="s">
        <v>8</v>
      </c>
      <c r="O54" s="127"/>
      <c r="P54" s="128">
        <f>SUM(P52:P53)*$F$47</f>
        <v>0</v>
      </c>
      <c r="Q54" t="s">
        <v>167</v>
      </c>
      <c r="V54" s="58">
        <f t="shared" si="45"/>
        <v>59261</v>
      </c>
      <c r="W54" s="26">
        <v>38</v>
      </c>
      <c r="X54" s="282" t="str">
        <f t="shared" si="27"/>
        <v>-</v>
      </c>
      <c r="Y54" s="161">
        <f t="shared" si="0"/>
        <v>0</v>
      </c>
      <c r="Z54" s="159">
        <f t="shared" si="1"/>
        <v>0</v>
      </c>
      <c r="AA54" s="159">
        <f t="shared" si="2"/>
        <v>0</v>
      </c>
      <c r="AB54" s="159">
        <f t="shared" si="46"/>
        <v>0</v>
      </c>
      <c r="AC54" s="160">
        <f t="shared" si="47"/>
        <v>0</v>
      </c>
      <c r="AD54" s="161">
        <f t="shared" si="4"/>
        <v>0</v>
      </c>
      <c r="AE54" s="159">
        <f t="shared" si="5"/>
        <v>0</v>
      </c>
      <c r="AF54" s="159">
        <f t="shared" si="48"/>
        <v>0</v>
      </c>
      <c r="AG54" s="159">
        <f>IF(AND(SUM($AA$16:AA53)&gt;0,SUM($AG$16:AG53)&lt;$O$62,$W54&gt;=$O$65),$O$64,0)</f>
        <v>0</v>
      </c>
      <c r="AH54" s="228">
        <f>IF(SUM($AA$17:$AA53)&gt;0,($O$62-SUM($AG$17:$AG53))*$E$65,0)</f>
        <v>0</v>
      </c>
      <c r="AI54" s="160">
        <f t="shared" si="49"/>
        <v>0</v>
      </c>
      <c r="AJ54" s="156">
        <f t="shared" si="50"/>
        <v>0</v>
      </c>
      <c r="AK54" s="158">
        <f>(SUM($P$31,$P$51)-SUM($AU$17:AU53))*$O$109</f>
        <v>0</v>
      </c>
      <c r="AL54" s="163"/>
      <c r="AM54" s="157">
        <f t="shared" si="51"/>
        <v>0</v>
      </c>
      <c r="AN54" s="164"/>
      <c r="AO54" s="155">
        <f t="shared" si="9"/>
        <v>0</v>
      </c>
      <c r="AP54" s="156">
        <f t="shared" si="10"/>
        <v>0</v>
      </c>
      <c r="AQ54" s="156">
        <f t="shared" si="11"/>
        <v>0</v>
      </c>
      <c r="AR54" s="159">
        <f t="shared" si="52"/>
        <v>0</v>
      </c>
      <c r="AS54" s="160">
        <f t="shared" si="53"/>
        <v>0</v>
      </c>
      <c r="AT54" s="159">
        <f t="shared" si="54"/>
        <v>0</v>
      </c>
      <c r="AU54" s="159">
        <f t="shared" si="14"/>
        <v>0</v>
      </c>
      <c r="AV54" s="159">
        <f t="shared" si="15"/>
        <v>0</v>
      </c>
      <c r="AW54" s="159">
        <f t="shared" si="55"/>
        <v>0</v>
      </c>
      <c r="AX54" s="159">
        <f t="shared" si="32"/>
        <v>0</v>
      </c>
      <c r="AY54" s="159">
        <f t="shared" si="16"/>
        <v>0</v>
      </c>
      <c r="AZ54" s="159">
        <f>IF(AND(SUM($AQ$16:AQ53)&gt;0,SUM($AZ$16:AZ53)&lt;$P$62,$W54&gt;=$P$65),$P$64,0)</f>
        <v>0</v>
      </c>
      <c r="BA54" s="159">
        <f>IF(SUM($AQ$17:$AQ53)&gt;0,($P$62-SUM($AZ$17:$AZ53))*$F$65,0)</f>
        <v>0</v>
      </c>
      <c r="BB54" s="160">
        <f t="shared" si="56"/>
        <v>0</v>
      </c>
      <c r="BC54" s="156">
        <f t="shared" si="57"/>
        <v>0</v>
      </c>
      <c r="BD54" s="157">
        <f t="shared" si="58"/>
        <v>0</v>
      </c>
      <c r="BE54" s="49"/>
      <c r="BF54" s="47">
        <f t="shared" si="35"/>
        <v>0.27557587175567944</v>
      </c>
      <c r="BH54" s="155">
        <f t="shared" si="59"/>
        <v>0</v>
      </c>
      <c r="BI54" s="155">
        <f t="shared" si="60"/>
        <v>0</v>
      </c>
      <c r="BJ54" s="156">
        <f t="shared" si="61"/>
        <v>0</v>
      </c>
      <c r="BK54" s="156">
        <f t="shared" si="62"/>
        <v>0</v>
      </c>
      <c r="BL54" s="156">
        <f t="shared" si="63"/>
        <v>0</v>
      </c>
      <c r="BM54" s="159">
        <f t="shared" si="64"/>
        <v>0</v>
      </c>
      <c r="BN54" s="160">
        <f t="shared" si="65"/>
        <v>0</v>
      </c>
      <c r="BO54" s="156">
        <f t="shared" si="19"/>
        <v>0</v>
      </c>
      <c r="BP54" s="156">
        <f t="shared" si="66"/>
        <v>0</v>
      </c>
      <c r="BQ54" s="156">
        <f t="shared" si="21"/>
        <v>0</v>
      </c>
      <c r="BR54" s="156">
        <f t="shared" si="67"/>
        <v>0</v>
      </c>
      <c r="BS54" s="228">
        <f t="shared" si="42"/>
        <v>0</v>
      </c>
      <c r="BT54" s="156">
        <f t="shared" si="68"/>
        <v>0</v>
      </c>
      <c r="BU54" s="160">
        <f t="shared" si="69"/>
        <v>0</v>
      </c>
      <c r="BV54" s="160">
        <f t="shared" si="70"/>
        <v>0</v>
      </c>
      <c r="BW54" s="153"/>
      <c r="BX54" s="158">
        <f t="shared" si="25"/>
        <v>0</v>
      </c>
      <c r="BY54" s="286">
        <f t="shared" si="44"/>
        <v>0</v>
      </c>
    </row>
    <row r="55" spans="1:77" ht="15.75" customHeight="1">
      <c r="V55" s="58">
        <f t="shared" si="45"/>
        <v>59626</v>
      </c>
      <c r="W55" s="26">
        <v>39</v>
      </c>
      <c r="X55" s="282" t="str">
        <f t="shared" si="27"/>
        <v>-</v>
      </c>
      <c r="Y55" s="161">
        <f t="shared" si="0"/>
        <v>0</v>
      </c>
      <c r="Z55" s="159">
        <f t="shared" si="1"/>
        <v>0</v>
      </c>
      <c r="AA55" s="159">
        <f t="shared" si="2"/>
        <v>0</v>
      </c>
      <c r="AB55" s="159">
        <f t="shared" si="46"/>
        <v>0</v>
      </c>
      <c r="AC55" s="160">
        <f t="shared" si="47"/>
        <v>0</v>
      </c>
      <c r="AD55" s="161">
        <f t="shared" si="4"/>
        <v>0</v>
      </c>
      <c r="AE55" s="159">
        <f t="shared" si="5"/>
        <v>0</v>
      </c>
      <c r="AF55" s="159">
        <f t="shared" si="48"/>
        <v>0</v>
      </c>
      <c r="AG55" s="159">
        <f>IF(AND(SUM($AA$16:AA54)&gt;0,SUM($AG$16:AG54)&lt;$O$62,$W55&gt;=$O$65),$O$64,0)</f>
        <v>0</v>
      </c>
      <c r="AH55" s="228">
        <f>IF(SUM($AA$17:$AA54)&gt;0,($O$62-SUM($AG$17:$AG54))*$E$65,0)</f>
        <v>0</v>
      </c>
      <c r="AI55" s="160">
        <f t="shared" si="49"/>
        <v>0</v>
      </c>
      <c r="AJ55" s="156">
        <f t="shared" si="50"/>
        <v>0</v>
      </c>
      <c r="AK55" s="158">
        <f>(SUM($P$31,$P$51)-SUM($AU$17:AU54))*$O$109</f>
        <v>0</v>
      </c>
      <c r="AL55" s="163"/>
      <c r="AM55" s="157">
        <f t="shared" si="51"/>
        <v>0</v>
      </c>
      <c r="AN55" s="164"/>
      <c r="AO55" s="155">
        <f t="shared" si="9"/>
        <v>0</v>
      </c>
      <c r="AP55" s="156">
        <f t="shared" si="10"/>
        <v>0</v>
      </c>
      <c r="AQ55" s="156">
        <f t="shared" si="11"/>
        <v>0</v>
      </c>
      <c r="AR55" s="159">
        <f t="shared" si="52"/>
        <v>0</v>
      </c>
      <c r="AS55" s="160">
        <f t="shared" si="53"/>
        <v>0</v>
      </c>
      <c r="AT55" s="159">
        <f t="shared" si="54"/>
        <v>0</v>
      </c>
      <c r="AU55" s="159">
        <f t="shared" si="14"/>
        <v>0</v>
      </c>
      <c r="AV55" s="159">
        <f t="shared" si="15"/>
        <v>0</v>
      </c>
      <c r="AW55" s="159">
        <f t="shared" si="55"/>
        <v>0</v>
      </c>
      <c r="AX55" s="159">
        <f t="shared" si="32"/>
        <v>0</v>
      </c>
      <c r="AY55" s="159">
        <f t="shared" si="16"/>
        <v>0</v>
      </c>
      <c r="AZ55" s="159">
        <f>IF(AND(SUM($AQ$16:AQ54)&gt;0,SUM($AZ$16:AZ54)&lt;$P$62,$W55&gt;=$P$65),$P$64,0)</f>
        <v>0</v>
      </c>
      <c r="BA55" s="159">
        <f>IF(SUM($AQ$17:$AQ54)&gt;0,($P$62-SUM($AZ$17:$AZ54))*$F$65,0)</f>
        <v>0</v>
      </c>
      <c r="BB55" s="160">
        <f t="shared" si="56"/>
        <v>0</v>
      </c>
      <c r="BC55" s="156">
        <f t="shared" si="57"/>
        <v>0</v>
      </c>
      <c r="BD55" s="157">
        <f t="shared" si="58"/>
        <v>0</v>
      </c>
      <c r="BE55" s="49"/>
      <c r="BF55" s="47">
        <f t="shared" si="35"/>
        <v>0.26638556960433007</v>
      </c>
      <c r="BH55" s="155">
        <f t="shared" si="59"/>
        <v>0</v>
      </c>
      <c r="BI55" s="155">
        <f t="shared" si="60"/>
        <v>0</v>
      </c>
      <c r="BJ55" s="156">
        <f t="shared" si="61"/>
        <v>0</v>
      </c>
      <c r="BK55" s="156">
        <f t="shared" si="62"/>
        <v>0</v>
      </c>
      <c r="BL55" s="156">
        <f t="shared" si="63"/>
        <v>0</v>
      </c>
      <c r="BM55" s="159">
        <f t="shared" si="64"/>
        <v>0</v>
      </c>
      <c r="BN55" s="160">
        <f t="shared" si="65"/>
        <v>0</v>
      </c>
      <c r="BO55" s="156">
        <f t="shared" si="19"/>
        <v>0</v>
      </c>
      <c r="BP55" s="156">
        <f t="shared" si="66"/>
        <v>0</v>
      </c>
      <c r="BQ55" s="156">
        <f t="shared" si="21"/>
        <v>0</v>
      </c>
      <c r="BR55" s="156">
        <f t="shared" si="67"/>
        <v>0</v>
      </c>
      <c r="BS55" s="228">
        <f t="shared" si="42"/>
        <v>0</v>
      </c>
      <c r="BT55" s="156">
        <f t="shared" si="68"/>
        <v>0</v>
      </c>
      <c r="BU55" s="160">
        <f t="shared" si="69"/>
        <v>0</v>
      </c>
      <c r="BV55" s="160">
        <f t="shared" si="70"/>
        <v>0</v>
      </c>
      <c r="BW55" s="153"/>
      <c r="BX55" s="158">
        <f t="shared" si="25"/>
        <v>0</v>
      </c>
      <c r="BY55" s="286">
        <f t="shared" si="44"/>
        <v>0</v>
      </c>
    </row>
    <row r="56" spans="1:77" ht="15.75" customHeight="1">
      <c r="C56" s="56" t="s">
        <v>77</v>
      </c>
      <c r="D56" t="s">
        <v>8</v>
      </c>
      <c r="F56" s="1">
        <v>0</v>
      </c>
      <c r="V56" s="58">
        <f t="shared" si="45"/>
        <v>59992</v>
      </c>
      <c r="W56" s="26">
        <v>40</v>
      </c>
      <c r="X56" s="282" t="str">
        <f t="shared" si="27"/>
        <v>-</v>
      </c>
      <c r="Y56" s="161">
        <f t="shared" si="0"/>
        <v>0</v>
      </c>
      <c r="Z56" s="159">
        <f t="shared" si="1"/>
        <v>0</v>
      </c>
      <c r="AA56" s="159">
        <f t="shared" si="2"/>
        <v>0</v>
      </c>
      <c r="AB56" s="159">
        <f t="shared" si="46"/>
        <v>0</v>
      </c>
      <c r="AC56" s="160">
        <f t="shared" si="47"/>
        <v>0</v>
      </c>
      <c r="AD56" s="161">
        <f t="shared" si="4"/>
        <v>0</v>
      </c>
      <c r="AE56" s="159">
        <f t="shared" si="5"/>
        <v>0</v>
      </c>
      <c r="AF56" s="159">
        <f t="shared" si="48"/>
        <v>0</v>
      </c>
      <c r="AG56" s="159">
        <f>IF(AND(SUM($AA$16:AA55)&gt;0,SUM($AG$16:AG55)&lt;$O$62,$W56&gt;=$O$65),$O$64,0)</f>
        <v>0</v>
      </c>
      <c r="AH56" s="228">
        <f>IF(SUM($AA$17:$AA55)&gt;0,($O$62-SUM($AG$17:$AG55))*$E$65,0)</f>
        <v>0</v>
      </c>
      <c r="AI56" s="160">
        <f t="shared" si="49"/>
        <v>0</v>
      </c>
      <c r="AJ56" s="156">
        <f t="shared" si="50"/>
        <v>0</v>
      </c>
      <c r="AK56" s="158">
        <f>(SUM($P$31,$P$51)-SUM($AU$17:AU55))*$O$109</f>
        <v>0</v>
      </c>
      <c r="AL56" s="163"/>
      <c r="AM56" s="157">
        <f t="shared" si="51"/>
        <v>0</v>
      </c>
      <c r="AN56" s="164"/>
      <c r="AO56" s="155">
        <f t="shared" si="9"/>
        <v>0</v>
      </c>
      <c r="AP56" s="156">
        <f t="shared" si="10"/>
        <v>0</v>
      </c>
      <c r="AQ56" s="156">
        <f t="shared" si="11"/>
        <v>0</v>
      </c>
      <c r="AR56" s="159">
        <f t="shared" si="52"/>
        <v>0</v>
      </c>
      <c r="AS56" s="160">
        <f t="shared" si="53"/>
        <v>0</v>
      </c>
      <c r="AT56" s="159">
        <f t="shared" si="54"/>
        <v>0</v>
      </c>
      <c r="AU56" s="159">
        <f t="shared" si="14"/>
        <v>0</v>
      </c>
      <c r="AV56" s="159">
        <f t="shared" si="15"/>
        <v>0</v>
      </c>
      <c r="AW56" s="159">
        <f t="shared" si="55"/>
        <v>0</v>
      </c>
      <c r="AX56" s="159">
        <f t="shared" si="32"/>
        <v>0</v>
      </c>
      <c r="AY56" s="159">
        <f t="shared" si="16"/>
        <v>0</v>
      </c>
      <c r="AZ56" s="159">
        <f>IF(AND(SUM($AQ$16:AQ55)&gt;0,SUM($AZ$16:AZ55)&lt;$P$62,$W56&gt;=$P$65),$P$64,0)</f>
        <v>0</v>
      </c>
      <c r="BA56" s="159">
        <f>IF(SUM($AQ$17:$AQ55)&gt;0,($P$62-SUM($AZ$17:$AZ55))*$F$65,0)</f>
        <v>0</v>
      </c>
      <c r="BB56" s="160">
        <f t="shared" si="56"/>
        <v>0</v>
      </c>
      <c r="BC56" s="156">
        <f t="shared" si="57"/>
        <v>0</v>
      </c>
      <c r="BD56" s="157">
        <f t="shared" si="58"/>
        <v>0</v>
      </c>
      <c r="BE56" s="49"/>
      <c r="BF56" s="47">
        <f t="shared" si="35"/>
        <v>0.25750175892153704</v>
      </c>
      <c r="BH56" s="155">
        <f t="shared" si="59"/>
        <v>0</v>
      </c>
      <c r="BI56" s="155">
        <f t="shared" si="60"/>
        <v>0</v>
      </c>
      <c r="BJ56" s="156">
        <f t="shared" si="61"/>
        <v>0</v>
      </c>
      <c r="BK56" s="156">
        <f t="shared" si="62"/>
        <v>0</v>
      </c>
      <c r="BL56" s="156">
        <f t="shared" si="63"/>
        <v>0</v>
      </c>
      <c r="BM56" s="159">
        <f t="shared" si="64"/>
        <v>0</v>
      </c>
      <c r="BN56" s="160">
        <f t="shared" si="65"/>
        <v>0</v>
      </c>
      <c r="BO56" s="156">
        <f t="shared" si="19"/>
        <v>0</v>
      </c>
      <c r="BP56" s="156">
        <f t="shared" si="66"/>
        <v>0</v>
      </c>
      <c r="BQ56" s="156">
        <f t="shared" si="21"/>
        <v>0</v>
      </c>
      <c r="BR56" s="156">
        <f t="shared" si="67"/>
        <v>0</v>
      </c>
      <c r="BS56" s="228">
        <f t="shared" si="42"/>
        <v>0</v>
      </c>
      <c r="BT56" s="156">
        <f t="shared" si="68"/>
        <v>0</v>
      </c>
      <c r="BU56" s="160">
        <f t="shared" si="69"/>
        <v>0</v>
      </c>
      <c r="BV56" s="160">
        <f t="shared" si="70"/>
        <v>0</v>
      </c>
      <c r="BW56" s="153"/>
      <c r="BX56" s="158">
        <f t="shared" si="25"/>
        <v>0</v>
      </c>
      <c r="BY56" s="286">
        <f t="shared" si="44"/>
        <v>0</v>
      </c>
    </row>
    <row r="57" spans="1:77" ht="15.75" customHeight="1" thickBot="1">
      <c r="Y57" s="165"/>
      <c r="Z57" s="165"/>
      <c r="AA57" s="153"/>
      <c r="AB57" s="153"/>
      <c r="AC57" s="153"/>
      <c r="AD57" s="153"/>
      <c r="AE57" s="153"/>
      <c r="AF57" s="153"/>
      <c r="AG57" s="159"/>
      <c r="AH57" s="156"/>
      <c r="AI57" s="153"/>
      <c r="AJ57" s="153"/>
      <c r="AK57" s="166"/>
      <c r="AL57" s="166"/>
      <c r="AM57" s="166"/>
      <c r="AN57" s="166"/>
      <c r="AO57" s="166"/>
      <c r="AP57" s="153"/>
      <c r="AQ57" s="153"/>
      <c r="AR57" s="153"/>
      <c r="AS57" s="153"/>
      <c r="AT57" s="153"/>
      <c r="AU57" s="153"/>
      <c r="AV57" s="153"/>
      <c r="AW57" s="153"/>
      <c r="AX57" s="153"/>
      <c r="AY57" s="153"/>
      <c r="AZ57" s="153"/>
      <c r="BA57" s="153"/>
      <c r="BB57" s="153"/>
      <c r="BC57" s="153"/>
      <c r="BD57" s="153"/>
      <c r="BH57" s="153"/>
      <c r="BI57" s="153"/>
      <c r="BJ57" s="153"/>
      <c r="BK57" s="153"/>
      <c r="BL57" s="153"/>
      <c r="BM57" s="153"/>
      <c r="BN57" s="153"/>
      <c r="BO57" s="153"/>
      <c r="BP57" s="153"/>
      <c r="BQ57" s="153"/>
      <c r="BR57" s="153"/>
      <c r="BS57" s="153"/>
      <c r="BT57" s="153"/>
      <c r="BU57" s="153"/>
      <c r="BV57" s="153"/>
      <c r="BW57" s="153"/>
      <c r="BX57" s="153"/>
    </row>
    <row r="58" spans="1:77" ht="15.75" customHeight="1" thickTop="1">
      <c r="A58" s="4" t="s">
        <v>120</v>
      </c>
      <c r="E58" t="s">
        <v>0</v>
      </c>
      <c r="F58" t="s">
        <v>1</v>
      </c>
      <c r="J58" s="4" t="s">
        <v>120</v>
      </c>
      <c r="X58" s="145" t="s">
        <v>97</v>
      </c>
      <c r="Y58" s="240">
        <f>SUM(Y16:Y56)</f>
        <v>1140</v>
      </c>
      <c r="Z58" s="240">
        <f t="shared" ref="Z58:AK58" si="71">SUM(Z16:Z56)</f>
        <v>384.75</v>
      </c>
      <c r="AA58" s="240">
        <f t="shared" si="71"/>
        <v>1282.5</v>
      </c>
      <c r="AB58" s="240">
        <f t="shared" si="71"/>
        <v>0</v>
      </c>
      <c r="AC58" s="240">
        <f t="shared" si="71"/>
        <v>1524.75</v>
      </c>
      <c r="AD58" s="240">
        <f t="shared" si="71"/>
        <v>2850</v>
      </c>
      <c r="AE58" s="240">
        <f t="shared" si="71"/>
        <v>1000</v>
      </c>
      <c r="AF58" s="240">
        <f t="shared" si="71"/>
        <v>230</v>
      </c>
      <c r="AG58" s="240">
        <f t="shared" si="71"/>
        <v>1282.5</v>
      </c>
      <c r="AH58" s="240">
        <f t="shared" si="71"/>
        <v>259.70625000000001</v>
      </c>
      <c r="AI58" s="240">
        <f t="shared" si="71"/>
        <v>4080</v>
      </c>
      <c r="AJ58" s="241">
        <f t="shared" si="71"/>
        <v>-2555.25</v>
      </c>
      <c r="AK58" s="241">
        <f t="shared" si="71"/>
        <v>0</v>
      </c>
      <c r="AL58" s="240">
        <f>SUM(AJ58,AL16)</f>
        <v>-2555.25</v>
      </c>
      <c r="AM58" s="241">
        <f>SUM(AM16:AM56)</f>
        <v>-1998.8152830902459</v>
      </c>
      <c r="AN58" s="166"/>
      <c r="AO58" s="240">
        <f t="shared" ref="AO58:BD58" si="72">SUM(AO16:AO56)</f>
        <v>1080</v>
      </c>
      <c r="AP58" s="240">
        <f t="shared" si="72"/>
        <v>364.5</v>
      </c>
      <c r="AQ58" s="240">
        <f t="shared" si="72"/>
        <v>1215</v>
      </c>
      <c r="AR58" s="240">
        <f t="shared" si="72"/>
        <v>0</v>
      </c>
      <c r="AS58" s="240">
        <f t="shared" si="72"/>
        <v>1444.5</v>
      </c>
      <c r="AT58" s="240">
        <f t="shared" si="72"/>
        <v>2700</v>
      </c>
      <c r="AU58" s="240">
        <f t="shared" si="72"/>
        <v>0</v>
      </c>
      <c r="AV58" s="240">
        <f t="shared" si="72"/>
        <v>0</v>
      </c>
      <c r="AW58" s="240">
        <f t="shared" si="72"/>
        <v>900</v>
      </c>
      <c r="AX58" s="240">
        <f t="shared" si="72"/>
        <v>163</v>
      </c>
      <c r="AY58" s="240">
        <f t="shared" si="72"/>
        <v>0</v>
      </c>
      <c r="AZ58" s="240">
        <f t="shared" si="72"/>
        <v>1215</v>
      </c>
      <c r="BA58" s="240">
        <f t="shared" si="72"/>
        <v>246.03749999999997</v>
      </c>
      <c r="BB58" s="240">
        <f t="shared" si="72"/>
        <v>3763</v>
      </c>
      <c r="BC58" s="241">
        <f t="shared" si="72"/>
        <v>-2318.5</v>
      </c>
      <c r="BD58" s="241">
        <f t="shared" si="72"/>
        <v>-1832.7017351303978</v>
      </c>
      <c r="BH58" s="233">
        <f t="shared" ref="BH58:BV58" si="73">SUM(BH16:BH56)</f>
        <v>2700</v>
      </c>
      <c r="BI58" s="233">
        <f t="shared" si="73"/>
        <v>0</v>
      </c>
      <c r="BJ58" s="233">
        <f t="shared" si="73"/>
        <v>0</v>
      </c>
      <c r="BK58" s="233">
        <f t="shared" si="73"/>
        <v>900</v>
      </c>
      <c r="BL58" s="233">
        <f t="shared" si="73"/>
        <v>0</v>
      </c>
      <c r="BM58" s="233">
        <f t="shared" si="73"/>
        <v>0</v>
      </c>
      <c r="BN58" s="233">
        <f t="shared" si="73"/>
        <v>3600</v>
      </c>
      <c r="BO58" s="233">
        <f t="shared" si="73"/>
        <v>2700</v>
      </c>
      <c r="BP58" s="233">
        <f t="shared" si="73"/>
        <v>900</v>
      </c>
      <c r="BQ58" s="233">
        <f t="shared" si="73"/>
        <v>0</v>
      </c>
      <c r="BR58" s="233">
        <f t="shared" si="73"/>
        <v>0</v>
      </c>
      <c r="BS58" s="233">
        <f t="shared" si="73"/>
        <v>0</v>
      </c>
      <c r="BT58" s="233">
        <f t="shared" si="73"/>
        <v>0</v>
      </c>
      <c r="BU58" s="233">
        <f t="shared" si="73"/>
        <v>3600</v>
      </c>
      <c r="BV58" s="233">
        <f t="shared" si="73"/>
        <v>0</v>
      </c>
      <c r="BW58" s="166"/>
      <c r="BX58" s="168">
        <f>SUM(BX16:BX56)</f>
        <v>0</v>
      </c>
    </row>
    <row r="59" spans="1:77" ht="15.75" customHeight="1">
      <c r="B59" t="s">
        <v>132</v>
      </c>
      <c r="C59" t="s">
        <v>184</v>
      </c>
      <c r="D59" t="s">
        <v>8</v>
      </c>
      <c r="E59" s="21">
        <f>O62</f>
        <v>1282.5</v>
      </c>
      <c r="F59" s="21">
        <f>P62</f>
        <v>1215</v>
      </c>
      <c r="J59" s="4" t="s">
        <v>132</v>
      </c>
      <c r="O59" t="s">
        <v>0</v>
      </c>
      <c r="P59" t="s">
        <v>1</v>
      </c>
      <c r="AA59"/>
      <c r="AB59"/>
      <c r="AC59"/>
      <c r="AD59"/>
      <c r="AE59"/>
      <c r="AF59"/>
      <c r="AG59"/>
      <c r="AH59"/>
      <c r="AI59"/>
      <c r="AJ59"/>
      <c r="AK59"/>
      <c r="AL59" s="31" t="s">
        <v>130</v>
      </c>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row>
    <row r="60" spans="1:77" ht="15.75" customHeight="1">
      <c r="C60" t="s">
        <v>105</v>
      </c>
      <c r="D60" t="s">
        <v>6</v>
      </c>
      <c r="E60" s="141">
        <v>0.4</v>
      </c>
      <c r="F60" s="141">
        <v>0.4</v>
      </c>
      <c r="K60" t="s">
        <v>73</v>
      </c>
      <c r="N60" s="19" t="s">
        <v>8</v>
      </c>
      <c r="O60" s="52">
        <f>O29</f>
        <v>2850</v>
      </c>
      <c r="P60" s="52">
        <f>P29</f>
        <v>2700</v>
      </c>
      <c r="AK60" s="281"/>
      <c r="AL60" s="31" t="s">
        <v>131</v>
      </c>
      <c r="AM60" s="281"/>
      <c r="AN60" s="281"/>
      <c r="AO60" s="281"/>
      <c r="BF60" s="281"/>
      <c r="BY60"/>
    </row>
    <row r="61" spans="1:77" ht="10.5" customHeight="1">
      <c r="C61" t="s">
        <v>106</v>
      </c>
      <c r="D61" t="s">
        <v>6</v>
      </c>
      <c r="E61" s="3">
        <v>0.3</v>
      </c>
      <c r="F61" s="3">
        <v>0.3</v>
      </c>
      <c r="K61" t="s">
        <v>4</v>
      </c>
      <c r="N61" s="19" t="s">
        <v>8</v>
      </c>
      <c r="O61" s="52">
        <f>O60*$F$60</f>
        <v>1140</v>
      </c>
      <c r="P61" s="52">
        <f>P60*$F$60</f>
        <v>1080</v>
      </c>
      <c r="V61" s="19"/>
      <c r="AK61" s="281"/>
      <c r="AL61" s="281"/>
      <c r="AM61" s="281"/>
      <c r="AN61" s="281"/>
      <c r="AO61" s="281"/>
      <c r="BF61" s="281"/>
    </row>
    <row r="62" spans="1:77" ht="15.75" customHeight="1">
      <c r="C62" s="275" t="s">
        <v>107</v>
      </c>
      <c r="D62" t="s">
        <v>6</v>
      </c>
      <c r="E62" s="3">
        <v>0.75</v>
      </c>
      <c r="F62" s="3">
        <v>0.75</v>
      </c>
      <c r="J62" s="4"/>
      <c r="K62" t="s">
        <v>24</v>
      </c>
      <c r="N62" s="19" t="s">
        <v>8</v>
      </c>
      <c r="O62" s="52">
        <f>(O60-O61)*$F$62</f>
        <v>1282.5</v>
      </c>
      <c r="P62" s="52">
        <f>(P30-P61)*$F$62</f>
        <v>1215</v>
      </c>
      <c r="V62" s="19"/>
    </row>
    <row r="63" spans="1:77" ht="15.75" customHeight="1">
      <c r="C63" t="s">
        <v>256</v>
      </c>
      <c r="D63" t="s">
        <v>7</v>
      </c>
      <c r="E63" s="1">
        <v>3</v>
      </c>
      <c r="F63" s="1">
        <v>3</v>
      </c>
      <c r="K63" t="s">
        <v>23</v>
      </c>
      <c r="N63" s="19" t="s">
        <v>8</v>
      </c>
      <c r="O63" s="52">
        <f>O62*$F$61</f>
        <v>384.75</v>
      </c>
      <c r="P63" s="52">
        <f>P62*$F$61</f>
        <v>364.5</v>
      </c>
      <c r="V63" s="19"/>
    </row>
    <row r="64" spans="1:77" ht="15.75" customHeight="1">
      <c r="C64" s="56" t="s">
        <v>76</v>
      </c>
      <c r="D64" t="s">
        <v>7</v>
      </c>
      <c r="E64" s="1">
        <v>20</v>
      </c>
      <c r="F64" s="1">
        <v>20</v>
      </c>
      <c r="K64" t="s">
        <v>44</v>
      </c>
      <c r="N64" s="19" t="s">
        <v>8</v>
      </c>
      <c r="O64" s="52">
        <f>O62/$F$64</f>
        <v>64.125</v>
      </c>
      <c r="P64" s="52">
        <f>P62/$F$64</f>
        <v>60.75</v>
      </c>
      <c r="V64" s="19"/>
    </row>
    <row r="65" spans="1:23" ht="15.75" customHeight="1">
      <c r="C65" s="56" t="s">
        <v>109</v>
      </c>
      <c r="D65" t="s">
        <v>6</v>
      </c>
      <c r="E65" s="54">
        <v>1.4999999999999999E-2</v>
      </c>
      <c r="F65" s="54">
        <v>1.4999999999999999E-2</v>
      </c>
      <c r="K65" t="s">
        <v>259</v>
      </c>
      <c r="N65" s="19" t="s">
        <v>257</v>
      </c>
      <c r="O65" s="52">
        <f>$F$16+E63+1</f>
        <v>7</v>
      </c>
      <c r="P65" s="52">
        <f>$F$16+F63+1</f>
        <v>7</v>
      </c>
    </row>
    <row r="66" spans="1:23" ht="15.75" customHeight="1">
      <c r="B66" t="s">
        <v>133</v>
      </c>
      <c r="C66" s="19"/>
      <c r="J66" s="4" t="s">
        <v>133</v>
      </c>
      <c r="P66" t="s">
        <v>1</v>
      </c>
    </row>
    <row r="67" spans="1:23" ht="15.75" customHeight="1">
      <c r="E67" t="s">
        <v>0</v>
      </c>
      <c r="F67" t="s">
        <v>1</v>
      </c>
      <c r="K67" t="s">
        <v>18</v>
      </c>
      <c r="O67" s="19"/>
      <c r="P67" s="110">
        <f>SUM(F69:F70)</f>
        <v>0</v>
      </c>
    </row>
    <row r="68" spans="1:23" ht="15.75" customHeight="1">
      <c r="C68" t="s">
        <v>184</v>
      </c>
      <c r="D68" t="s">
        <v>8</v>
      </c>
      <c r="F68" s="21">
        <f>P31</f>
        <v>0</v>
      </c>
    </row>
    <row r="69" spans="1:23" ht="15.75" customHeight="1">
      <c r="C69" t="s">
        <v>10</v>
      </c>
      <c r="D69" t="s">
        <v>6</v>
      </c>
      <c r="F69" s="17"/>
      <c r="H69" s="72" t="s">
        <v>202</v>
      </c>
    </row>
    <row r="70" spans="1:23" ht="15.75" customHeight="1">
      <c r="C70" t="s">
        <v>11</v>
      </c>
      <c r="D70" t="s">
        <v>6</v>
      </c>
      <c r="F70" s="18"/>
      <c r="H70" s="150" t="s">
        <v>202</v>
      </c>
    </row>
    <row r="71" spans="1:23" ht="15.75" customHeight="1">
      <c r="C71" s="56" t="s">
        <v>110</v>
      </c>
      <c r="D71" t="s">
        <v>6</v>
      </c>
    </row>
    <row r="72" spans="1:23" ht="15.75" customHeight="1">
      <c r="A72" s="4" t="s">
        <v>112</v>
      </c>
      <c r="J72" s="4" t="s">
        <v>112</v>
      </c>
      <c r="O72" s="19"/>
      <c r="P72" s="19"/>
      <c r="R72" s="4" t="s">
        <v>147</v>
      </c>
      <c r="S72" s="4"/>
      <c r="T72" s="4"/>
    </row>
    <row r="73" spans="1:23" ht="15.75" customHeight="1">
      <c r="C73" t="s">
        <v>127</v>
      </c>
      <c r="O73" s="19"/>
      <c r="P73" s="5" t="s">
        <v>127</v>
      </c>
      <c r="U73" s="4" t="s">
        <v>139</v>
      </c>
    </row>
    <row r="74" spans="1:23" ht="15.75" customHeight="1">
      <c r="C74" s="2" t="s">
        <v>185</v>
      </c>
      <c r="D74" t="s">
        <v>8</v>
      </c>
      <c r="F74" s="1">
        <v>0</v>
      </c>
      <c r="H74" s="72" t="s">
        <v>203</v>
      </c>
      <c r="N74" t="s">
        <v>128</v>
      </c>
      <c r="O74" s="2"/>
      <c r="P74" s="20">
        <f>F74</f>
        <v>0</v>
      </c>
      <c r="S74" t="s">
        <v>148</v>
      </c>
      <c r="T74" s="19" t="s">
        <v>8</v>
      </c>
      <c r="U74" s="20">
        <f>F90</f>
        <v>0</v>
      </c>
    </row>
    <row r="75" spans="1:23" ht="15.75" customHeight="1">
      <c r="C75" s="2" t="s">
        <v>186</v>
      </c>
      <c r="D75" t="s">
        <v>6</v>
      </c>
      <c r="F75" s="135"/>
      <c r="H75" t="s">
        <v>134</v>
      </c>
      <c r="N75" t="s">
        <v>125</v>
      </c>
      <c r="O75" s="2"/>
      <c r="P75" s="115">
        <f>F75</f>
        <v>0</v>
      </c>
      <c r="S75" t="s">
        <v>125</v>
      </c>
      <c r="T75" t="s">
        <v>6</v>
      </c>
      <c r="U75" s="115">
        <f>F91</f>
        <v>0</v>
      </c>
    </row>
    <row r="76" spans="1:23" ht="15.75" customHeight="1">
      <c r="C76" t="s">
        <v>102</v>
      </c>
      <c r="N76" t="s">
        <v>126</v>
      </c>
      <c r="O76" s="2" t="s">
        <v>8</v>
      </c>
      <c r="P76" s="116">
        <f>P74*P75</f>
        <v>0</v>
      </c>
      <c r="S76" t="s">
        <v>126</v>
      </c>
      <c r="T76" s="19" t="s">
        <v>8</v>
      </c>
      <c r="U76" s="116">
        <f>U74*U75</f>
        <v>0</v>
      </c>
      <c r="W76" s="113"/>
    </row>
    <row r="77" spans="1:23" ht="15.75" customHeight="1">
      <c r="C77" s="2" t="s">
        <v>126</v>
      </c>
      <c r="D77" t="s">
        <v>8</v>
      </c>
      <c r="F77" s="135"/>
      <c r="H77" t="s">
        <v>143</v>
      </c>
      <c r="N77"/>
      <c r="O77" s="2"/>
      <c r="P77" s="104" t="s">
        <v>102</v>
      </c>
      <c r="T77" s="19"/>
      <c r="U77" s="4" t="s">
        <v>140</v>
      </c>
    </row>
    <row r="78" spans="1:23" ht="15.75" customHeight="1">
      <c r="N78" t="s">
        <v>126</v>
      </c>
      <c r="O78" s="2" t="s">
        <v>8</v>
      </c>
      <c r="P78" s="117">
        <f>F77</f>
        <v>0</v>
      </c>
      <c r="S78" t="s">
        <v>148</v>
      </c>
      <c r="T78" s="19" t="s">
        <v>8</v>
      </c>
      <c r="U78" s="20">
        <f>F93</f>
        <v>0</v>
      </c>
    </row>
    <row r="79" spans="1:23" ht="15.75" customHeight="1">
      <c r="C79" t="s">
        <v>135</v>
      </c>
      <c r="O79" s="2"/>
      <c r="P79" s="104" t="s">
        <v>135</v>
      </c>
      <c r="S79" t="s">
        <v>125</v>
      </c>
      <c r="T79" t="s">
        <v>6</v>
      </c>
      <c r="U79" s="115">
        <f>F94</f>
        <v>0</v>
      </c>
    </row>
    <row r="80" spans="1:23" ht="15.75" customHeight="1">
      <c r="C80" s="2" t="s">
        <v>148</v>
      </c>
      <c r="D80" t="s">
        <v>8</v>
      </c>
      <c r="F80" s="111">
        <v>0</v>
      </c>
      <c r="H80" t="s">
        <v>197</v>
      </c>
      <c r="N80" t="s">
        <v>142</v>
      </c>
      <c r="O80" s="2"/>
      <c r="P80" s="20">
        <f>F80</f>
        <v>0</v>
      </c>
      <c r="S80" t="s">
        <v>126</v>
      </c>
      <c r="T80" s="19" t="s">
        <v>8</v>
      </c>
      <c r="U80" s="116">
        <f>U78*U79</f>
        <v>0</v>
      </c>
    </row>
    <row r="81" spans="3:21" ht="15.75" customHeight="1">
      <c r="C81" s="2" t="s">
        <v>125</v>
      </c>
      <c r="D81" t="s">
        <v>6</v>
      </c>
      <c r="F81" s="135"/>
      <c r="H81" s="175" t="s">
        <v>138</v>
      </c>
      <c r="N81" t="s">
        <v>125</v>
      </c>
      <c r="O81" s="2"/>
      <c r="P81" s="115">
        <f>F81</f>
        <v>0</v>
      </c>
      <c r="T81" s="19"/>
      <c r="U81" s="4" t="s">
        <v>141</v>
      </c>
    </row>
    <row r="82" spans="3:21" ht="15.75" customHeight="1">
      <c r="C82" t="s">
        <v>136</v>
      </c>
      <c r="N82" t="s">
        <v>126</v>
      </c>
      <c r="O82" s="2" t="s">
        <v>8</v>
      </c>
      <c r="P82" s="116">
        <f>P80*P81</f>
        <v>0</v>
      </c>
      <c r="S82" t="s">
        <v>148</v>
      </c>
      <c r="T82" s="19" t="s">
        <v>8</v>
      </c>
      <c r="U82" s="20">
        <f>F96</f>
        <v>0</v>
      </c>
    </row>
    <row r="83" spans="3:21" ht="15.75" customHeight="1">
      <c r="C83" s="2" t="s">
        <v>148</v>
      </c>
      <c r="D83" t="s">
        <v>8</v>
      </c>
      <c r="F83" s="111">
        <v>0</v>
      </c>
      <c r="H83" t="s">
        <v>197</v>
      </c>
      <c r="O83" s="2"/>
      <c r="P83" s="104" t="s">
        <v>137</v>
      </c>
      <c r="S83" t="s">
        <v>125</v>
      </c>
      <c r="T83" t="s">
        <v>6</v>
      </c>
      <c r="U83" s="115">
        <f>F97</f>
        <v>0</v>
      </c>
    </row>
    <row r="84" spans="3:21">
      <c r="C84" s="2" t="s">
        <v>125</v>
      </c>
      <c r="D84" t="s">
        <v>6</v>
      </c>
      <c r="F84" s="135"/>
      <c r="H84" s="175" t="s">
        <v>138</v>
      </c>
      <c r="N84" t="s">
        <v>142</v>
      </c>
      <c r="O84" s="2"/>
      <c r="P84" s="20">
        <f>F83</f>
        <v>0</v>
      </c>
      <c r="S84" t="s">
        <v>126</v>
      </c>
      <c r="T84" s="19" t="s">
        <v>8</v>
      </c>
      <c r="U84" s="116">
        <f>U82*U83</f>
        <v>0</v>
      </c>
    </row>
    <row r="85" spans="3:21">
      <c r="C85" t="s">
        <v>137</v>
      </c>
      <c r="N85" t="s">
        <v>125</v>
      </c>
      <c r="O85" s="2"/>
      <c r="P85" s="115">
        <f>F87</f>
        <v>0</v>
      </c>
      <c r="T85" s="19"/>
    </row>
    <row r="86" spans="3:21">
      <c r="C86" s="2" t="s">
        <v>148</v>
      </c>
      <c r="D86" t="s">
        <v>8</v>
      </c>
      <c r="F86" s="111">
        <v>0</v>
      </c>
      <c r="H86" t="s">
        <v>198</v>
      </c>
      <c r="N86" t="s">
        <v>126</v>
      </c>
      <c r="O86" s="2" t="s">
        <v>8</v>
      </c>
      <c r="P86" s="116">
        <f>P84*P85</f>
        <v>0</v>
      </c>
      <c r="S86" t="s">
        <v>149</v>
      </c>
      <c r="T86" s="19" t="s">
        <v>8</v>
      </c>
      <c r="U86" s="118">
        <f>IF($F$13="都道府県",P82,0)</f>
        <v>0</v>
      </c>
    </row>
    <row r="87" spans="3:21">
      <c r="C87" s="2" t="s">
        <v>125</v>
      </c>
      <c r="D87" t="s">
        <v>6</v>
      </c>
      <c r="F87" s="135"/>
      <c r="H87" s="175" t="s">
        <v>138</v>
      </c>
      <c r="N87"/>
      <c r="O87" s="2"/>
      <c r="P87" s="148" t="s">
        <v>144</v>
      </c>
      <c r="S87" t="s">
        <v>157</v>
      </c>
      <c r="T87" s="19" t="s">
        <v>8</v>
      </c>
      <c r="U87" s="69">
        <f>IF($F$13="市町村",P90,0)</f>
        <v>0</v>
      </c>
    </row>
    <row r="88" spans="3:21">
      <c r="C88" t="s">
        <v>111</v>
      </c>
      <c r="N88" t="s">
        <v>142</v>
      </c>
      <c r="O88" s="2"/>
      <c r="P88" s="20">
        <f>F83</f>
        <v>0</v>
      </c>
    </row>
    <row r="89" spans="3:21">
      <c r="C89" t="s">
        <v>139</v>
      </c>
      <c r="N89" t="s">
        <v>125</v>
      </c>
      <c r="O89" s="2"/>
      <c r="P89" s="115">
        <f>F84</f>
        <v>0</v>
      </c>
    </row>
    <row r="90" spans="3:21">
      <c r="C90" s="2" t="s">
        <v>148</v>
      </c>
      <c r="D90" t="s">
        <v>8</v>
      </c>
      <c r="F90" s="269">
        <v>0</v>
      </c>
      <c r="H90" t="s">
        <v>187</v>
      </c>
      <c r="N90" t="s">
        <v>126</v>
      </c>
      <c r="O90" s="2" t="s">
        <v>8</v>
      </c>
      <c r="P90" s="116">
        <f>P88*P89</f>
        <v>0</v>
      </c>
    </row>
    <row r="91" spans="3:21">
      <c r="C91" s="2" t="s">
        <v>125</v>
      </c>
      <c r="D91" t="s">
        <v>6</v>
      </c>
      <c r="F91" s="1">
        <v>0</v>
      </c>
      <c r="H91" t="s">
        <v>145</v>
      </c>
      <c r="K91" s="4" t="s">
        <v>104</v>
      </c>
      <c r="N91"/>
      <c r="O91" s="2"/>
      <c r="R91" s="4" t="s">
        <v>158</v>
      </c>
      <c r="S91" s="4"/>
    </row>
    <row r="92" spans="3:21">
      <c r="C92" t="s">
        <v>188</v>
      </c>
      <c r="M92" t="s">
        <v>243</v>
      </c>
      <c r="N92" t="s">
        <v>126</v>
      </c>
      <c r="O92" s="2" t="s">
        <v>8</v>
      </c>
      <c r="P92" s="52">
        <f>P78</f>
        <v>0</v>
      </c>
      <c r="S92" t="s">
        <v>159</v>
      </c>
      <c r="T92" s="19" t="s">
        <v>8</v>
      </c>
      <c r="U92" s="69">
        <f>SUM(F99,U76,U80,U84,U86:U87)</f>
        <v>0</v>
      </c>
    </row>
    <row r="93" spans="3:21">
      <c r="C93" s="2" t="s">
        <v>200</v>
      </c>
      <c r="D93" t="s">
        <v>8</v>
      </c>
      <c r="F93" s="269">
        <v>0</v>
      </c>
      <c r="H93" t="s">
        <v>187</v>
      </c>
      <c r="M93" t="s">
        <v>159</v>
      </c>
      <c r="N93" t="s">
        <v>126</v>
      </c>
      <c r="O93" s="2" t="s">
        <v>8</v>
      </c>
      <c r="P93" s="119">
        <f>SUM(P76,P78,P82,P86,P90)</f>
        <v>0</v>
      </c>
      <c r="S93" t="s">
        <v>160</v>
      </c>
      <c r="T93" s="19" t="s">
        <v>8</v>
      </c>
      <c r="U93" s="69">
        <f>SUM(F100,U76,U80,U84)</f>
        <v>0</v>
      </c>
    </row>
    <row r="94" spans="3:21">
      <c r="C94" s="2" t="s">
        <v>125</v>
      </c>
      <c r="D94" t="s">
        <v>6</v>
      </c>
      <c r="F94" s="1">
        <v>0</v>
      </c>
      <c r="H94" t="s">
        <v>145</v>
      </c>
      <c r="M94" t="s">
        <v>160</v>
      </c>
      <c r="N94" t="s">
        <v>126</v>
      </c>
      <c r="O94" s="2" t="s">
        <v>8</v>
      </c>
      <c r="P94" s="120">
        <f>SUM(P76,P78,P90)</f>
        <v>0</v>
      </c>
    </row>
    <row r="95" spans="3:21">
      <c r="C95" s="56" t="s">
        <v>189</v>
      </c>
    </row>
    <row r="96" spans="3:21">
      <c r="C96" s="2" t="s">
        <v>200</v>
      </c>
      <c r="D96" t="s">
        <v>8</v>
      </c>
      <c r="F96" s="269">
        <v>0</v>
      </c>
      <c r="H96" t="s">
        <v>187</v>
      </c>
    </row>
    <row r="97" spans="1:16">
      <c r="C97" s="2" t="s">
        <v>125</v>
      </c>
      <c r="D97" t="s">
        <v>6</v>
      </c>
      <c r="F97" s="1">
        <v>0</v>
      </c>
      <c r="H97" t="s">
        <v>146</v>
      </c>
    </row>
    <row r="98" spans="1:16"/>
    <row r="99" spans="1:16">
      <c r="C99" t="s">
        <v>174</v>
      </c>
      <c r="D99" t="s">
        <v>8</v>
      </c>
      <c r="F99" s="111"/>
    </row>
    <row r="100" spans="1:16">
      <c r="C100" t="s">
        <v>175</v>
      </c>
      <c r="D100" t="s">
        <v>8</v>
      </c>
      <c r="F100" s="111"/>
    </row>
    <row r="101" spans="1:16"/>
    <row r="102" spans="1:16">
      <c r="A102" s="4" t="s">
        <v>113</v>
      </c>
      <c r="J102" s="4" t="s">
        <v>124</v>
      </c>
      <c r="O102" t="s">
        <v>0</v>
      </c>
      <c r="P102" t="s">
        <v>1</v>
      </c>
    </row>
    <row r="103" spans="1:16">
      <c r="C103" s="31"/>
      <c r="D103" s="31"/>
      <c r="E103" s="31"/>
      <c r="F103" s="31" t="s">
        <v>38</v>
      </c>
      <c r="K103" t="s">
        <v>196</v>
      </c>
      <c r="N103" s="19" t="s">
        <v>8</v>
      </c>
      <c r="O103" s="52">
        <f>F104</f>
        <v>0</v>
      </c>
      <c r="P103" s="53"/>
    </row>
    <row r="104" spans="1:16">
      <c r="C104" s="94" t="s">
        <v>164</v>
      </c>
      <c r="D104" t="s">
        <v>8</v>
      </c>
      <c r="F104" s="149"/>
      <c r="H104" s="150" t="s">
        <v>203</v>
      </c>
      <c r="K104" t="s">
        <v>67</v>
      </c>
      <c r="N104" s="19" t="s">
        <v>8</v>
      </c>
      <c r="O104" s="143">
        <f>F105*O16</f>
        <v>0</v>
      </c>
      <c r="P104" s="53"/>
    </row>
    <row r="105" spans="1:16">
      <c r="C105" s="94" t="s">
        <v>129</v>
      </c>
      <c r="D105" t="s">
        <v>8</v>
      </c>
      <c r="F105" s="149"/>
      <c r="H105" s="150" t="s">
        <v>203</v>
      </c>
      <c r="K105" t="s">
        <v>68</v>
      </c>
      <c r="N105" s="19" t="s">
        <v>8</v>
      </c>
      <c r="O105" s="52">
        <f>F106</f>
        <v>0</v>
      </c>
      <c r="P105" s="53"/>
    </row>
    <row r="106" spans="1:16">
      <c r="C106" s="94" t="s">
        <v>40</v>
      </c>
      <c r="D106" t="s">
        <v>8</v>
      </c>
      <c r="F106" s="149"/>
      <c r="H106" s="150" t="s">
        <v>203</v>
      </c>
      <c r="K106" t="s">
        <v>69</v>
      </c>
    </row>
    <row r="107" spans="1:16">
      <c r="C107" s="94"/>
      <c r="M107" t="s">
        <v>264</v>
      </c>
      <c r="N107" s="19" t="s">
        <v>6</v>
      </c>
      <c r="O107" s="70">
        <f>F65</f>
        <v>1.4999999999999999E-2</v>
      </c>
      <c r="P107" s="53"/>
    </row>
    <row r="108" spans="1:16">
      <c r="C108" s="94"/>
      <c r="M108" t="s">
        <v>79</v>
      </c>
      <c r="N108" s="19" t="s">
        <v>6</v>
      </c>
      <c r="O108" s="71">
        <f>P67</f>
        <v>0</v>
      </c>
      <c r="P108" s="53"/>
    </row>
    <row r="109" spans="1:16">
      <c r="C109" s="94"/>
      <c r="M109" t="s">
        <v>70</v>
      </c>
      <c r="N109" s="19" t="s">
        <v>6</v>
      </c>
      <c r="O109" s="70">
        <f>O108-O107</f>
        <v>-1.4999999999999999E-2</v>
      </c>
      <c r="P109" s="53"/>
    </row>
    <row r="110" spans="1:16">
      <c r="M110" s="95" t="s">
        <v>114</v>
      </c>
      <c r="N110" t="s">
        <v>8</v>
      </c>
      <c r="O110" s="143">
        <f>SUM(AK17:AK46)</f>
        <v>0</v>
      </c>
      <c r="P110" s="53"/>
    </row>
    <row r="111" spans="1:16"/>
    <row r="112" spans="1:16" s="264" customFormat="1" ht="15" customHeight="1" thickBot="1">
      <c r="B112" s="264" t="s">
        <v>252</v>
      </c>
      <c r="I112" s="265"/>
    </row>
    <row r="113" ht="19" hidden="1" thickTop="1"/>
  </sheetData>
  <phoneticPr fontId="2"/>
  <dataValidations count="2">
    <dataValidation type="list" allowBlank="1" showInputMessage="1" showErrorMessage="1" sqref="F13" xr:uid="{CBC886EA-95AB-40C2-AA29-41858A0919AD}">
      <formula1>$O$13:$Q$13</formula1>
    </dataValidation>
    <dataValidation type="list" allowBlank="1" showInputMessage="1" showErrorMessage="1" sqref="F47" xr:uid="{8956EFFD-2B8A-44FF-8C40-65CA46B3D5FB}">
      <formula1>$G$47:$G$48</formula1>
    </dataValidation>
  </dataValidations>
  <pageMargins left="0.23622047244094491" right="0.23622047244094491" top="0.74803149606299213" bottom="0.74803149606299213" header="0.31496062992125984" footer="0.31496062992125984"/>
  <pageSetup paperSize="8" scale="41" fitToWidth="0" orientation="landscape" r:id="rId1"/>
  <colBreaks count="2" manualBreakCount="2">
    <brk id="21" max="1048575" man="1"/>
    <brk id="59"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C868-D685-44E1-9B5A-E2DA6E64BC32}">
  <sheetPr>
    <tabColor rgb="FFFFC000"/>
    <pageSetUpPr fitToPage="1"/>
  </sheetPr>
  <dimension ref="A1:CM113"/>
  <sheetViews>
    <sheetView showGridLines="0" tabSelected="1" view="pageBreakPreview" topLeftCell="AR10" zoomScale="85" zoomScaleNormal="40" zoomScaleSheetLayoutView="85" workbookViewId="0">
      <selection activeCell="AC19" sqref="AC19"/>
    </sheetView>
  </sheetViews>
  <sheetFormatPr baseColWidth="10" defaultColWidth="0" defaultRowHeight="18" zeroHeight="1" outlineLevelCol="1"/>
  <cols>
    <col min="1" max="1" width="4.83203125" customWidth="1"/>
    <col min="2" max="2" width="40.6640625" customWidth="1"/>
    <col min="3" max="3" width="40.1640625" bestFit="1" customWidth="1"/>
    <col min="4" max="4" width="7.33203125" customWidth="1"/>
    <col min="5" max="5" width="8.5" bestFit="1" customWidth="1"/>
    <col min="6" max="6" width="11.5" customWidth="1"/>
    <col min="7" max="7" width="2.5" customWidth="1"/>
    <col min="8" max="8" width="43.6640625" customWidth="1"/>
    <col min="9" max="9" width="1.6640625" customWidth="1"/>
    <col min="10" max="11" width="12.5" customWidth="1" outlineLevel="1"/>
    <col min="12" max="12" width="1.83203125" customWidth="1" outlineLevel="1"/>
    <col min="13" max="13" width="42.1640625" customWidth="1" outlineLevel="1"/>
    <col min="14" max="14" width="11.1640625" style="19" customWidth="1" outlineLevel="1"/>
    <col min="15" max="16" width="24.5" customWidth="1" outlineLevel="1"/>
    <col min="17" max="17" width="4.6640625" customWidth="1" outlineLevel="1"/>
    <col min="18" max="18" width="10" customWidth="1" outlineLevel="1"/>
    <col min="19" max="19" width="19.1640625" customWidth="1" outlineLevel="1"/>
    <col min="20" max="20" width="7.5" customWidth="1" outlineLevel="1"/>
    <col min="21" max="21" width="24.5" customWidth="1" outlineLevel="1"/>
    <col min="22" max="22" width="12" customWidth="1"/>
    <col min="23" max="23" width="9.6640625" customWidth="1"/>
    <col min="24" max="24" width="21.5" customWidth="1"/>
    <col min="25" max="26" width="10.83203125" style="242" customWidth="1"/>
    <col min="27" max="36" width="10.83203125" style="33" customWidth="1"/>
    <col min="37" max="38" width="10.83203125" style="234" customWidth="1"/>
    <col min="39" max="39" width="12" style="234" customWidth="1"/>
    <col min="40" max="40" width="1.6640625" style="31" customWidth="1"/>
    <col min="41" max="41" width="10.33203125" style="234" customWidth="1"/>
    <col min="42" max="45" width="10.33203125" style="33" customWidth="1"/>
    <col min="46" max="49" width="16" style="33" customWidth="1"/>
    <col min="50" max="54" width="10.6640625" style="33" customWidth="1"/>
    <col min="55" max="56" width="12" style="33" customWidth="1"/>
    <col min="57" max="57" width="1.6640625" style="19" customWidth="1"/>
    <col min="58" max="58" width="12" style="31" customWidth="1"/>
    <col min="59" max="59" width="1.5" style="19" customWidth="1"/>
    <col min="60" max="63" width="16" style="33" customWidth="1"/>
    <col min="64" max="70" width="12" style="33" customWidth="1"/>
    <col min="71" max="71" width="16.83203125" style="33" customWidth="1"/>
    <col min="72" max="74" width="12" style="33" customWidth="1"/>
    <col min="75" max="75" width="2.1640625" style="19" customWidth="1"/>
    <col min="76" max="76" width="12" style="19" customWidth="1"/>
    <col min="77" max="77" width="21" style="19" bestFit="1" customWidth="1"/>
    <col min="78" max="78" width="3.33203125" style="19" hidden="1" customWidth="1"/>
    <col min="79" max="79" width="0" style="19" hidden="1" customWidth="1"/>
    <col min="80" max="91" width="0" hidden="1" customWidth="1"/>
    <col min="92" max="16384" width="9" hidden="1"/>
  </cols>
  <sheetData>
    <row r="1" spans="1:79"/>
    <row r="2" spans="1:79">
      <c r="B2" s="4" t="s">
        <v>262</v>
      </c>
    </row>
    <row r="3" spans="1:79">
      <c r="B3" s="270" t="s">
        <v>263</v>
      </c>
    </row>
    <row r="4" spans="1:79">
      <c r="B4" s="271" t="s">
        <v>261</v>
      </c>
    </row>
    <row r="5" spans="1:79" ht="15.75" customHeight="1">
      <c r="B5" s="272" t="s">
        <v>260</v>
      </c>
    </row>
    <row r="6" spans="1:79" ht="15.75" customHeight="1"/>
    <row r="7" spans="1:79" s="4" customFormat="1" ht="15.75" customHeight="1">
      <c r="A7" s="25" t="s">
        <v>45</v>
      </c>
      <c r="B7" s="25"/>
      <c r="C7" s="25"/>
      <c r="D7" s="25"/>
      <c r="E7" s="25"/>
      <c r="F7" s="25"/>
      <c r="G7" s="25"/>
      <c r="H7" s="25"/>
      <c r="I7" s="25"/>
      <c r="J7" s="24" t="s">
        <v>46</v>
      </c>
      <c r="K7" s="24"/>
      <c r="L7" s="24"/>
      <c r="M7" s="24"/>
      <c r="N7" s="85"/>
      <c r="O7" s="24"/>
      <c r="P7" s="24"/>
      <c r="Q7" s="24"/>
      <c r="R7" s="24"/>
      <c r="S7" s="24"/>
      <c r="T7" s="24"/>
      <c r="U7" s="24"/>
      <c r="V7" s="22" t="s">
        <v>22</v>
      </c>
      <c r="W7" s="22"/>
      <c r="X7" s="22"/>
      <c r="Y7" s="243"/>
      <c r="Z7" s="243"/>
      <c r="AA7" s="224"/>
      <c r="AB7" s="224"/>
      <c r="AC7" s="224"/>
      <c r="AD7" s="224"/>
      <c r="AE7" s="224"/>
      <c r="AF7" s="224"/>
      <c r="AG7" s="224"/>
      <c r="AH7" s="224"/>
      <c r="AI7" s="224"/>
      <c r="AJ7" s="224"/>
      <c r="AK7" s="235"/>
      <c r="AL7" s="235"/>
      <c r="AM7" s="235"/>
      <c r="AN7" s="30"/>
      <c r="AO7" s="235"/>
      <c r="AP7" s="224"/>
      <c r="AQ7" s="224"/>
      <c r="AR7" s="224"/>
      <c r="AS7" s="224"/>
      <c r="AT7" s="224"/>
      <c r="AU7" s="224"/>
      <c r="AV7" s="224"/>
      <c r="AW7" s="224"/>
      <c r="AX7" s="224"/>
      <c r="AY7" s="224"/>
      <c r="AZ7" s="224"/>
      <c r="BA7" s="224"/>
      <c r="BB7" s="224"/>
      <c r="BC7" s="224"/>
      <c r="BD7" s="224"/>
      <c r="BE7" s="23"/>
      <c r="BF7" s="30"/>
      <c r="BG7" s="23"/>
      <c r="BH7" s="224"/>
      <c r="BI7" s="224"/>
      <c r="BJ7" s="224"/>
      <c r="BK7" s="224"/>
      <c r="BL7" s="224"/>
      <c r="BM7" s="224"/>
      <c r="BN7" s="224"/>
      <c r="BO7" s="224"/>
      <c r="BP7" s="224"/>
      <c r="BQ7" s="224"/>
      <c r="BR7" s="224"/>
      <c r="BS7" s="224"/>
      <c r="BT7" s="224"/>
      <c r="BU7" s="224"/>
      <c r="BV7" s="224"/>
      <c r="BW7" s="23"/>
      <c r="BX7" s="23"/>
      <c r="BY7" s="23"/>
      <c r="BZ7" s="23"/>
      <c r="CA7" s="23"/>
    </row>
    <row r="8" spans="1:79" s="4" customFormat="1" ht="15.75" customHeight="1">
      <c r="A8" s="257"/>
      <c r="B8" s="273" t="s">
        <v>266</v>
      </c>
      <c r="C8" s="257"/>
      <c r="D8" s="257"/>
      <c r="E8" s="257"/>
      <c r="F8" s="257"/>
      <c r="G8" s="257"/>
      <c r="H8" s="257"/>
      <c r="I8" s="257"/>
      <c r="N8" s="5"/>
      <c r="Y8" s="258"/>
      <c r="Z8" s="258"/>
      <c r="AA8" s="32"/>
      <c r="AB8" s="32"/>
      <c r="AC8" s="32"/>
      <c r="AD8" s="32"/>
      <c r="AE8" s="32"/>
      <c r="AF8" s="32"/>
      <c r="AG8" s="32"/>
      <c r="AH8" s="32"/>
      <c r="AI8" s="32"/>
      <c r="AJ8" s="32"/>
      <c r="AK8" s="259"/>
      <c r="AL8" s="259"/>
      <c r="AM8" s="259"/>
      <c r="AN8" s="260"/>
      <c r="AO8" s="259"/>
      <c r="AP8" s="32"/>
      <c r="AQ8" s="32"/>
      <c r="AR8" s="32"/>
      <c r="AS8" s="32"/>
      <c r="AT8" s="32"/>
      <c r="AU8" s="32"/>
      <c r="AV8" s="32"/>
      <c r="AW8" s="32"/>
      <c r="AX8" s="32"/>
      <c r="AY8" s="32"/>
      <c r="AZ8" s="32"/>
      <c r="BA8" s="32"/>
      <c r="BB8" s="32"/>
      <c r="BC8" s="32"/>
      <c r="BD8" s="32"/>
      <c r="BE8" s="5"/>
      <c r="BF8" s="260"/>
      <c r="BG8" s="5"/>
      <c r="BH8" s="32"/>
      <c r="BI8" s="32"/>
      <c r="BJ8" s="32"/>
      <c r="BK8" s="32"/>
      <c r="BL8" s="32"/>
      <c r="BM8" s="32"/>
      <c r="BN8" s="32"/>
      <c r="BO8" s="32"/>
      <c r="BP8" s="32"/>
      <c r="BQ8" s="32"/>
      <c r="BR8" s="32"/>
      <c r="BS8" s="32"/>
      <c r="BT8" s="32"/>
      <c r="BU8" s="32"/>
      <c r="BV8" s="32"/>
      <c r="BW8" s="5"/>
      <c r="BX8" s="5"/>
      <c r="BY8" s="5"/>
      <c r="BZ8" s="5"/>
      <c r="CA8" s="5"/>
    </row>
    <row r="9" spans="1:79" ht="15.75" customHeight="1" thickBot="1">
      <c r="W9" s="55" t="s">
        <v>15</v>
      </c>
      <c r="X9" s="50"/>
      <c r="Y9" s="244"/>
      <c r="AC9" s="245" t="s">
        <v>47</v>
      </c>
    </row>
    <row r="10" spans="1:79" ht="15.75" customHeight="1">
      <c r="D10" t="s">
        <v>19</v>
      </c>
      <c r="K10" s="19"/>
      <c r="L10" s="19"/>
      <c r="M10" s="19"/>
      <c r="N10" s="19" t="s">
        <v>19</v>
      </c>
      <c r="O10" s="19"/>
      <c r="P10" s="19"/>
      <c r="Q10" s="19" t="s">
        <v>20</v>
      </c>
      <c r="R10" s="19"/>
      <c r="S10" s="19"/>
      <c r="T10" s="19"/>
      <c r="U10" s="19"/>
      <c r="W10" s="10" t="s">
        <v>16</v>
      </c>
      <c r="X10" s="11" t="s">
        <v>245</v>
      </c>
      <c r="Y10" s="246" t="s">
        <v>6</v>
      </c>
      <c r="AC10" s="247" t="s">
        <v>17</v>
      </c>
      <c r="BQ10" s="32"/>
      <c r="BR10" s="32"/>
      <c r="BS10" s="32"/>
      <c r="BT10" s="32"/>
      <c r="BY10" s="5"/>
    </row>
    <row r="11" spans="1:79" ht="15.75" customHeight="1" thickBot="1">
      <c r="A11" s="4" t="s">
        <v>60</v>
      </c>
      <c r="J11" s="4" t="s">
        <v>60</v>
      </c>
      <c r="W11" s="173">
        <f>AL58-BC58</f>
        <v>-44.227930369897877</v>
      </c>
      <c r="X11" s="174">
        <f>AM58-BD58</f>
        <v>-613.06049840723199</v>
      </c>
      <c r="Y11" s="248">
        <f>X11/AM58</f>
        <v>0.20418789101010767</v>
      </c>
      <c r="AC11" s="249">
        <f>XIRR(BV17:BV56,V17:V56)</f>
        <v>3.043311536312103E-2</v>
      </c>
      <c r="AD11" s="56" t="s">
        <v>78</v>
      </c>
      <c r="BQ11" s="32"/>
      <c r="BR11" s="32"/>
      <c r="BS11" s="32"/>
      <c r="BT11" s="32"/>
      <c r="BY11" s="5"/>
    </row>
    <row r="12" spans="1:79" ht="15.75" customHeight="1"/>
    <row r="13" spans="1:79" ht="15.75" customHeight="1">
      <c r="B13" t="s">
        <v>150</v>
      </c>
      <c r="F13" s="29" t="s">
        <v>153</v>
      </c>
      <c r="J13" s="175" t="s">
        <v>150</v>
      </c>
      <c r="O13" t="s">
        <v>151</v>
      </c>
      <c r="P13" t="s">
        <v>152</v>
      </c>
      <c r="Q13" t="s">
        <v>153</v>
      </c>
      <c r="V13" s="5" t="s">
        <v>244</v>
      </c>
      <c r="W13" s="5" t="s">
        <v>9</v>
      </c>
      <c r="X13" s="5" t="s">
        <v>3</v>
      </c>
      <c r="Y13" s="59" t="s">
        <v>0</v>
      </c>
      <c r="Z13" s="60"/>
      <c r="AA13" s="60"/>
      <c r="AB13" s="60"/>
      <c r="AC13" s="60"/>
      <c r="AD13" s="60"/>
      <c r="AE13" s="60"/>
      <c r="AF13" s="60"/>
      <c r="AG13" s="60"/>
      <c r="AH13" s="60"/>
      <c r="AI13" s="60"/>
      <c r="AJ13" s="103"/>
      <c r="AK13" s="146" t="s">
        <v>38</v>
      </c>
      <c r="AL13" s="250"/>
      <c r="AM13" s="96"/>
      <c r="AN13" s="32"/>
      <c r="AO13" s="63" t="s">
        <v>1</v>
      </c>
      <c r="AP13" s="62"/>
      <c r="AQ13" s="62"/>
      <c r="AR13" s="62"/>
      <c r="AS13" s="62"/>
      <c r="AT13" s="62"/>
      <c r="AU13" s="62"/>
      <c r="AV13" s="62"/>
      <c r="AW13" s="62"/>
      <c r="AX13" s="62"/>
      <c r="AY13" s="62"/>
      <c r="AZ13" s="62"/>
      <c r="BA13" s="62"/>
      <c r="BB13" s="62"/>
      <c r="BC13" s="211"/>
      <c r="BD13" s="211" t="s">
        <v>14</v>
      </c>
      <c r="BE13" s="33"/>
      <c r="BF13" s="19"/>
      <c r="BH13" s="65" t="s">
        <v>2</v>
      </c>
      <c r="BI13" s="66"/>
      <c r="BJ13" s="66"/>
      <c r="BK13" s="66"/>
      <c r="BL13" s="66"/>
      <c r="BM13" s="66"/>
      <c r="BN13" s="66"/>
      <c r="BO13" s="66"/>
      <c r="BP13" s="66"/>
      <c r="BQ13" s="66"/>
      <c r="BR13" s="66"/>
      <c r="BS13" s="66"/>
      <c r="BT13" s="66"/>
      <c r="BU13" s="66"/>
      <c r="BV13" s="136"/>
      <c r="BX13" s="84" t="s">
        <v>75</v>
      </c>
      <c r="BY13" s="84" t="s">
        <v>274</v>
      </c>
    </row>
    <row r="14" spans="1:79" ht="15.75" customHeight="1">
      <c r="B14" t="s">
        <v>154</v>
      </c>
      <c r="D14" t="s">
        <v>49</v>
      </c>
      <c r="F14" s="134" t="s">
        <v>53</v>
      </c>
      <c r="J14" s="175"/>
      <c r="Y14" s="59" t="s">
        <v>12</v>
      </c>
      <c r="Z14" s="60"/>
      <c r="AA14" s="60"/>
      <c r="AB14" s="60"/>
      <c r="AC14" s="61"/>
      <c r="AD14" s="59" t="s">
        <v>13</v>
      </c>
      <c r="AE14" s="60"/>
      <c r="AF14" s="60"/>
      <c r="AG14" s="60"/>
      <c r="AH14" s="60"/>
      <c r="AI14" s="144"/>
      <c r="AJ14" s="105" t="s">
        <v>14</v>
      </c>
      <c r="AK14" s="96"/>
      <c r="AL14" s="34"/>
      <c r="AM14" s="107" t="s">
        <v>14</v>
      </c>
      <c r="AN14" s="32"/>
      <c r="AO14" s="63" t="s">
        <v>12</v>
      </c>
      <c r="AP14" s="62"/>
      <c r="AQ14" s="62"/>
      <c r="AR14" s="62"/>
      <c r="AS14" s="64"/>
      <c r="AT14" s="62" t="s">
        <v>13</v>
      </c>
      <c r="AU14" s="62"/>
      <c r="AV14" s="62"/>
      <c r="AW14" s="62"/>
      <c r="AX14" s="62"/>
      <c r="AY14" s="62"/>
      <c r="AZ14" s="62"/>
      <c r="BA14" s="62"/>
      <c r="BB14" s="64"/>
      <c r="BC14" s="35" t="s">
        <v>14</v>
      </c>
      <c r="BD14" s="35" t="s">
        <v>56</v>
      </c>
      <c r="BE14" s="33"/>
      <c r="BF14" s="19"/>
      <c r="BH14" s="65" t="s">
        <v>12</v>
      </c>
      <c r="BI14" s="66"/>
      <c r="BJ14" s="66"/>
      <c r="BK14" s="66"/>
      <c r="BL14" s="66"/>
      <c r="BM14" s="66"/>
      <c r="BN14" s="67"/>
      <c r="BO14" s="65" t="s">
        <v>13</v>
      </c>
      <c r="BP14" s="66"/>
      <c r="BQ14" s="66"/>
      <c r="BR14" s="66"/>
      <c r="BS14" s="66"/>
      <c r="BT14" s="66"/>
      <c r="BU14" s="67"/>
      <c r="BV14" s="44" t="s">
        <v>14</v>
      </c>
      <c r="BX14" s="91"/>
      <c r="BY14" s="288" t="s">
        <v>275</v>
      </c>
    </row>
    <row r="15" spans="1:79" ht="32.25" customHeight="1">
      <c r="J15" s="175"/>
      <c r="N15"/>
      <c r="Y15" s="39" t="s">
        <v>4</v>
      </c>
      <c r="Z15" s="40" t="s">
        <v>30</v>
      </c>
      <c r="AA15" s="40" t="s">
        <v>31</v>
      </c>
      <c r="AB15" s="40" t="s">
        <v>247</v>
      </c>
      <c r="AC15" s="41" t="s">
        <v>36</v>
      </c>
      <c r="AD15" s="39" t="s">
        <v>248</v>
      </c>
      <c r="AE15" s="40" t="s">
        <v>33</v>
      </c>
      <c r="AF15" s="40" t="s">
        <v>258</v>
      </c>
      <c r="AG15" s="40" t="s">
        <v>34</v>
      </c>
      <c r="AH15" s="40" t="s">
        <v>35</v>
      </c>
      <c r="AI15" s="42" t="s">
        <v>37</v>
      </c>
      <c r="AJ15" s="97"/>
      <c r="AK15" s="83" t="s">
        <v>271</v>
      </c>
      <c r="AL15" s="42" t="s">
        <v>97</v>
      </c>
      <c r="AM15" s="109" t="s">
        <v>56</v>
      </c>
      <c r="AN15" s="32"/>
      <c r="AO15" s="86" t="s">
        <v>4</v>
      </c>
      <c r="AP15" s="87" t="s">
        <v>30</v>
      </c>
      <c r="AQ15" s="87" t="s">
        <v>31</v>
      </c>
      <c r="AR15" s="87" t="s">
        <v>246</v>
      </c>
      <c r="AS15" s="43" t="s">
        <v>36</v>
      </c>
      <c r="AT15" s="87" t="s">
        <v>61</v>
      </c>
      <c r="AU15" s="87" t="s">
        <v>41</v>
      </c>
      <c r="AV15" s="87" t="s">
        <v>42</v>
      </c>
      <c r="AW15" s="87" t="s">
        <v>249</v>
      </c>
      <c r="AX15" s="87" t="s">
        <v>258</v>
      </c>
      <c r="AY15" s="87" t="s">
        <v>168</v>
      </c>
      <c r="AZ15" s="87" t="s">
        <v>34</v>
      </c>
      <c r="BA15" s="87" t="s">
        <v>35</v>
      </c>
      <c r="BB15" s="43" t="s">
        <v>37</v>
      </c>
      <c r="BC15" s="88"/>
      <c r="BD15" s="43"/>
      <c r="BE15" s="33"/>
      <c r="BF15" s="262" t="s">
        <v>55</v>
      </c>
      <c r="BG15" s="33"/>
      <c r="BH15" s="45" t="s">
        <v>62</v>
      </c>
      <c r="BI15" s="37" t="s">
        <v>41</v>
      </c>
      <c r="BJ15" s="37" t="s">
        <v>42</v>
      </c>
      <c r="BK15" s="37" t="s">
        <v>249</v>
      </c>
      <c r="BL15" s="37" t="s">
        <v>250</v>
      </c>
      <c r="BM15" s="37" t="s">
        <v>247</v>
      </c>
      <c r="BN15" s="38" t="s">
        <v>36</v>
      </c>
      <c r="BO15" s="37" t="s">
        <v>32</v>
      </c>
      <c r="BP15" s="37" t="s">
        <v>54</v>
      </c>
      <c r="BQ15" s="37" t="s">
        <v>273</v>
      </c>
      <c r="BR15" s="37" t="s">
        <v>39</v>
      </c>
      <c r="BS15" s="37" t="s">
        <v>277</v>
      </c>
      <c r="BT15" s="37" t="s">
        <v>251</v>
      </c>
      <c r="BU15" s="38" t="s">
        <v>37</v>
      </c>
      <c r="BV15" s="38"/>
      <c r="BX15" s="92"/>
      <c r="BY15" s="287">
        <f>IF(SUM(BY17:BY46)=0,0,1)</f>
        <v>0</v>
      </c>
      <c r="CA15"/>
    </row>
    <row r="16" spans="1:79" ht="15.75" customHeight="1">
      <c r="B16" t="s">
        <v>155</v>
      </c>
      <c r="C16" t="s">
        <v>27</v>
      </c>
      <c r="D16" t="s">
        <v>7</v>
      </c>
      <c r="F16" s="1">
        <v>3</v>
      </c>
      <c r="J16" s="175" t="s">
        <v>156</v>
      </c>
      <c r="N16" s="19" t="s">
        <v>7</v>
      </c>
      <c r="O16" s="20">
        <f>SUM(F16:F17)</f>
        <v>23</v>
      </c>
      <c r="V16" s="104" t="s">
        <v>38</v>
      </c>
      <c r="Y16" s="251"/>
      <c r="Z16" s="237"/>
      <c r="AA16" s="237"/>
      <c r="AB16" s="237"/>
      <c r="AC16" s="237"/>
      <c r="AD16" s="237"/>
      <c r="AE16" s="237"/>
      <c r="AF16" s="237"/>
      <c r="AG16" s="237"/>
      <c r="AH16" s="237"/>
      <c r="AI16" s="237"/>
      <c r="AJ16" s="237"/>
      <c r="AK16" s="232"/>
      <c r="AL16" s="252">
        <f>-SUM(BS17,SUM(BR17:BR46),O105,O110)</f>
        <v>-804.11230038545898</v>
      </c>
      <c r="AM16" s="253">
        <f>AL16*BF16</f>
        <v>-804.11230038545898</v>
      </c>
      <c r="AN16" s="166"/>
      <c r="AO16" s="236"/>
      <c r="AP16" s="237"/>
      <c r="AQ16" s="237"/>
      <c r="AR16" s="237"/>
      <c r="AS16" s="237"/>
      <c r="AT16" s="237"/>
      <c r="AU16" s="237"/>
      <c r="AV16" s="237"/>
      <c r="AW16" s="237"/>
      <c r="AX16" s="237"/>
      <c r="AY16" s="237"/>
      <c r="AZ16" s="237"/>
      <c r="BA16" s="237"/>
      <c r="BB16" s="237"/>
      <c r="BC16" s="237"/>
      <c r="BD16" s="238"/>
      <c r="BE16" s="31"/>
      <c r="BF16" s="106">
        <v>1</v>
      </c>
      <c r="BH16" s="225"/>
      <c r="BI16" s="226"/>
      <c r="BJ16" s="226"/>
      <c r="BK16" s="226"/>
      <c r="BL16" s="226"/>
      <c r="BM16" s="226"/>
      <c r="BN16" s="226"/>
      <c r="BO16" s="226"/>
      <c r="BP16" s="226"/>
      <c r="BQ16" s="226"/>
      <c r="BR16" s="226"/>
      <c r="BS16" s="226"/>
      <c r="BT16" s="226"/>
      <c r="BU16" s="226"/>
      <c r="BV16" s="226"/>
      <c r="BW16" s="166"/>
      <c r="BX16" s="163"/>
      <c r="BY16" s="283"/>
      <c r="CA16"/>
    </row>
    <row r="17" spans="1:79" ht="15.75" customHeight="1">
      <c r="C17" t="s">
        <v>28</v>
      </c>
      <c r="D17" t="s">
        <v>7</v>
      </c>
      <c r="F17" s="1">
        <v>20</v>
      </c>
      <c r="J17" s="150"/>
      <c r="V17" s="58">
        <f>IF(W17=1,DATE(YEAR($F$18)+(MONTH($F$18)&gt;=4),4,0),EOMONTH(V15,12))</f>
        <v>45747</v>
      </c>
      <c r="W17" s="6">
        <v>1</v>
      </c>
      <c r="X17" s="282" t="str">
        <f>IF(W17&gt;$O$16,"-",IF($W17&lt;=$F$16,"整備期間","維持管理・運営期間"))</f>
        <v>整備期間</v>
      </c>
      <c r="Y17" s="239">
        <f t="shared" ref="Y17:Y56" si="0">IF($W17=$F$16,$O$61,0)</f>
        <v>0</v>
      </c>
      <c r="Z17" s="230">
        <f t="shared" ref="Z17:Z56" si="1">IF($W17=$F$16,$O$63,0)</f>
        <v>0</v>
      </c>
      <c r="AA17" s="230">
        <f t="shared" ref="AA17:AA56" si="2">IF($W17=$F$16,$O$62,0)</f>
        <v>0</v>
      </c>
      <c r="AB17" s="230">
        <f t="shared" ref="AB17:AB46" si="3">IF(X17="維持管理・運営期間",$F$56,0)</f>
        <v>0</v>
      </c>
      <c r="AC17" s="231">
        <f>SUM(Y17:Z17,AB17)</f>
        <v>0</v>
      </c>
      <c r="AD17" s="239">
        <f t="shared" ref="AD17:AD56" si="4">IF($W17=$F$16,$O$30,0)</f>
        <v>0</v>
      </c>
      <c r="AE17" s="230">
        <f t="shared" ref="AE17:AE56" si="5">IF($X17="維持管理・運営期間",$O$41,0)</f>
        <v>0</v>
      </c>
      <c r="AF17" s="230">
        <f t="shared" ref="AF17:AF46" si="6">IF(AND($W17&gt;0,$W17&lt;=$O$16),$E$45,0)</f>
        <v>10</v>
      </c>
      <c r="AG17" s="230">
        <f>IF(AND(SUM($AA$16:AA16)&gt;0,SUM($AG$16:AG16)&lt;$O$62,$W17&gt;=$O$65),$O$64,0)</f>
        <v>0</v>
      </c>
      <c r="AH17" s="230">
        <f>IF(SUM($AA16:$AA$17)&gt;0,($O$62-SUM($AG16:$AG$17))*$E$65,0)</f>
        <v>0</v>
      </c>
      <c r="AI17" s="231">
        <f>SUM(AD17:AF17)</f>
        <v>10</v>
      </c>
      <c r="AJ17" s="230">
        <f t="shared" ref="AJ17:AJ46" si="7">AC17-AI17</f>
        <v>-10</v>
      </c>
      <c r="AK17" s="254"/>
      <c r="AL17" s="255"/>
      <c r="AM17" s="231">
        <f t="shared" ref="AM17:AM46" si="8">AJ17*$BF17</f>
        <v>-9.6665055582406971</v>
      </c>
      <c r="AN17" s="164"/>
      <c r="AO17" s="239">
        <f t="shared" ref="AO17:AO56" si="9">IF($W17=$F$16,$P$61,0)</f>
        <v>0</v>
      </c>
      <c r="AP17" s="230">
        <f t="shared" ref="AP17:AP56" si="10">IF($W17=$F$16,$P$63,0)</f>
        <v>0</v>
      </c>
      <c r="AQ17" s="230">
        <f t="shared" ref="AQ17:AQ56" si="11">IF($W17=$F$16,$P$62,0)</f>
        <v>0</v>
      </c>
      <c r="AR17" s="230">
        <f t="shared" ref="AR17:AR56" si="12">IF($W17&lt;$O$16,IF(W17=$F$16,$U$93,$U$94),0)</f>
        <v>0</v>
      </c>
      <c r="AS17" s="231">
        <f>SUM(AO17:AP17,AR17)</f>
        <v>0</v>
      </c>
      <c r="AT17" s="230">
        <f t="shared" ref="AT17:AT46" si="13">IF(W17=$F$16,$P$30,0)</f>
        <v>0</v>
      </c>
      <c r="AU17" s="230">
        <f t="shared" ref="AU17:AU46" si="14">IFERROR(-PPMT($P$36,W17-$F$16,$F$17,SUM(P$31,P$51)),0)</f>
        <v>0</v>
      </c>
      <c r="AV17" s="230">
        <f t="shared" ref="AV17:AV46" si="15">IFERROR(-IPMT($P$36,W17-$F$16,$F$17,SUM($P$31,$P$51)),0)</f>
        <v>0</v>
      </c>
      <c r="AW17" s="230">
        <f>IF(AND(W17&gt;$F$16,W17&lt;=SUM($F$16:$F$17)),$P$43,0)</f>
        <v>0</v>
      </c>
      <c r="AX17" s="230">
        <f>IF($W17=1,$F$44,0)+IF(AND($W17&gt;0,$W17&lt;=$O$16),$F$45,0)</f>
        <v>31</v>
      </c>
      <c r="AY17" s="230">
        <f t="shared" ref="AY17:AY46" si="16">IF(AND(W17&gt;$F$16,W17&lt;=SUM($F$16:$F$17)),$P$54,0)</f>
        <v>0</v>
      </c>
      <c r="AZ17" s="230">
        <f>IF(AND(SUM($AQ$16:AQ16)&gt;0,SUM($AZ$16:AZ16)&lt;$P$62,$W17&gt;=$P$65),$P$64,0)</f>
        <v>0</v>
      </c>
      <c r="BA17" s="230">
        <f>IF(SUM($AQ16:$AQ$17)&gt;0,($P$62-SUM($AZ16:$AZ$17))*$F$65,0)</f>
        <v>0</v>
      </c>
      <c r="BB17" s="231">
        <f>SUM(AT17:AY17)</f>
        <v>31</v>
      </c>
      <c r="BC17" s="230">
        <f>AS17-BB17</f>
        <v>-31</v>
      </c>
      <c r="BD17" s="231">
        <f t="shared" ref="BD17:BD46" si="17">BC17*$BF17</f>
        <v>-29.966167230546159</v>
      </c>
      <c r="BE17" s="48"/>
      <c r="BF17" s="46">
        <f>1/(1+$O$22)</f>
        <v>0.96665055582406967</v>
      </c>
      <c r="BH17" s="227">
        <f>AT17</f>
        <v>0</v>
      </c>
      <c r="BI17" s="227">
        <f>AU17</f>
        <v>0</v>
      </c>
      <c r="BJ17" s="228">
        <f>AV17</f>
        <v>0</v>
      </c>
      <c r="BK17" s="228">
        <f>AW17</f>
        <v>0</v>
      </c>
      <c r="BL17" s="228">
        <f>AY17</f>
        <v>0</v>
      </c>
      <c r="BM17" s="228">
        <f t="shared" ref="BM17:BM46" si="18">IF($W17&gt;$F$16,$F$56,0)</f>
        <v>0</v>
      </c>
      <c r="BN17" s="229">
        <f t="shared" ref="BN17:BN46" si="19">SUM(BH17:BM17)</f>
        <v>0</v>
      </c>
      <c r="BO17" s="228">
        <f t="shared" ref="BO17:BO56" si="20">IF($W17=$F$16,$P$32,0)</f>
        <v>0</v>
      </c>
      <c r="BP17" s="228">
        <f t="shared" ref="BP17:BP46" si="21">IF(AND(W17&gt;$F$16,W17&lt;=SUM($F$16:$F$17)),$P$41,0)</f>
        <v>0</v>
      </c>
      <c r="BQ17" s="228">
        <f t="shared" ref="BQ17:BQ56" si="22">IFERROR(-IPMT($P$67,W17-$F$16,$F$17,SUM(P$31,P$51)),0)</f>
        <v>0</v>
      </c>
      <c r="BR17" s="228">
        <f t="shared" ref="BR17:BR46" si="23">IF($W17&lt;=$O$16,$F$105,0)</f>
        <v>12</v>
      </c>
      <c r="BS17" s="228">
        <f>IF($W17=1,SUM($O$103,$O$105),0)</f>
        <v>200</v>
      </c>
      <c r="BT17" s="228">
        <f t="shared" ref="BT17:BT56" si="24">IF($W17&lt;$O$16,IF(W17=$F$16,$P$94,$P$95),0)</f>
        <v>0.18</v>
      </c>
      <c r="BU17" s="229">
        <f>SUM(BO17:BP17,BR17:BT17)</f>
        <v>212.18</v>
      </c>
      <c r="BV17" s="229">
        <f t="shared" ref="BV17:BV46" si="25">BN17-BU17</f>
        <v>-212.18</v>
      </c>
      <c r="BW17" s="166"/>
      <c r="BX17" s="158">
        <f>IFERROR(-PPMT($P$67,$W17-$F$16,$F$17,SUM(P$31,P$51)),0)</f>
        <v>0</v>
      </c>
      <c r="BY17" s="284"/>
      <c r="CA17"/>
    </row>
    <row r="18" spans="1:79" ht="15.75" customHeight="1">
      <c r="C18" t="s">
        <v>63</v>
      </c>
      <c r="F18" s="68">
        <v>45383</v>
      </c>
      <c r="J18" s="150"/>
      <c r="V18" s="58">
        <f t="shared" ref="V18:V46" si="26">IF(W18=1,DATE(YEAR($F$18)+(MONTH($F$18)&gt;=4),4,0),EOMONTH(V17,12))</f>
        <v>46112</v>
      </c>
      <c r="W18" s="7">
        <v>2</v>
      </c>
      <c r="X18" s="282" t="str">
        <f t="shared" ref="X18:X56" si="27">IF(W18&gt;$O$16,"-",IF($W18&lt;=$F$16,"整備期間","維持管理・運営期間"))</f>
        <v>整備期間</v>
      </c>
      <c r="Y18" s="239">
        <f t="shared" si="0"/>
        <v>0</v>
      </c>
      <c r="Z18" s="230">
        <f t="shared" si="1"/>
        <v>0</v>
      </c>
      <c r="AA18" s="230">
        <f t="shared" si="2"/>
        <v>0</v>
      </c>
      <c r="AB18" s="230">
        <f t="shared" si="3"/>
        <v>0</v>
      </c>
      <c r="AC18" s="231">
        <f t="shared" ref="AC18:AC46" si="28">SUM(Y18:Z18,AB18)</f>
        <v>0</v>
      </c>
      <c r="AD18" s="239">
        <f t="shared" si="4"/>
        <v>0</v>
      </c>
      <c r="AE18" s="230">
        <f t="shared" si="5"/>
        <v>0</v>
      </c>
      <c r="AF18" s="230">
        <f t="shared" si="6"/>
        <v>10</v>
      </c>
      <c r="AG18" s="230">
        <f>IF(AND(SUM($AA$16:AA17)&gt;0,SUM($AG$16:AG17)&lt;$O$62,$W18&gt;=$O$65),$O$64,0)</f>
        <v>0</v>
      </c>
      <c r="AH18" s="228">
        <f>IF(SUM($AA17:$AA$17)&gt;0,($O$62-SUM($AG17:$AG$17))*$E$65,0)</f>
        <v>0</v>
      </c>
      <c r="AI18" s="231">
        <f t="shared" ref="AI18:AI46" si="29">SUM(AD18:AF18)</f>
        <v>10</v>
      </c>
      <c r="AJ18" s="228">
        <f t="shared" si="7"/>
        <v>-10</v>
      </c>
      <c r="AK18" s="254"/>
      <c r="AL18" s="255"/>
      <c r="AM18" s="229">
        <f t="shared" si="8"/>
        <v>-9.3441329707498273</v>
      </c>
      <c r="AN18" s="164"/>
      <c r="AO18" s="227">
        <f t="shared" si="9"/>
        <v>0</v>
      </c>
      <c r="AP18" s="228">
        <f t="shared" si="10"/>
        <v>0</v>
      </c>
      <c r="AQ18" s="228">
        <f t="shared" si="11"/>
        <v>0</v>
      </c>
      <c r="AR18" s="230">
        <f t="shared" si="12"/>
        <v>0</v>
      </c>
      <c r="AS18" s="231">
        <f t="shared" ref="AS18:AS46" si="30">SUM(AO18:AP18,AR18)</f>
        <v>0</v>
      </c>
      <c r="AT18" s="230">
        <f t="shared" si="13"/>
        <v>0</v>
      </c>
      <c r="AU18" s="230">
        <f t="shared" si="14"/>
        <v>0</v>
      </c>
      <c r="AV18" s="230">
        <f t="shared" si="15"/>
        <v>0</v>
      </c>
      <c r="AW18" s="230">
        <f t="shared" ref="AW18:AW46" si="31">IF(AND(W18&gt;$F$16,W18&lt;=SUM($F$16:$F$17)),$P$43,0)</f>
        <v>0</v>
      </c>
      <c r="AX18" s="230">
        <f t="shared" ref="AX18:AX56" si="32">IF($W18=1,$F$44,0)+IF(AND($W18&gt;0,$W18&lt;=$O$16),$F$45,0)</f>
        <v>6</v>
      </c>
      <c r="AY18" s="230">
        <f t="shared" si="16"/>
        <v>0</v>
      </c>
      <c r="AZ18" s="230">
        <f>IF(AND(SUM($AQ$16:AQ17)&gt;0,SUM($AZ$16:AZ17)&lt;$P$62,$W18&gt;=$P$65),$P$64,0)</f>
        <v>0</v>
      </c>
      <c r="BA18" s="230">
        <f>IF(SUM($AQ17:$AQ$17)&gt;0,($P$62-SUM($AZ17:$AZ$17))*$F$65,0)</f>
        <v>0</v>
      </c>
      <c r="BB18" s="231">
        <f t="shared" ref="BB18:BB46" si="33">SUM(AT18:AY18)</f>
        <v>6</v>
      </c>
      <c r="BC18" s="228">
        <f t="shared" ref="BC18:BC46" si="34">AS18-BB18</f>
        <v>-6</v>
      </c>
      <c r="BD18" s="229">
        <f t="shared" si="17"/>
        <v>-5.6064797824498971</v>
      </c>
      <c r="BE18" s="48"/>
      <c r="BF18" s="46">
        <f t="shared" ref="BF18:BF56" si="35">BF17/(1+$O$22)</f>
        <v>0.93441329707498277</v>
      </c>
      <c r="BH18" s="227">
        <f t="shared" ref="BH18:BH46" si="36">AT18</f>
        <v>0</v>
      </c>
      <c r="BI18" s="227">
        <f t="shared" ref="BI18:BI46" si="37">AU18</f>
        <v>0</v>
      </c>
      <c r="BJ18" s="228">
        <f t="shared" ref="BJ18:BJ46" si="38">AV18</f>
        <v>0</v>
      </c>
      <c r="BK18" s="228">
        <f t="shared" ref="BK18:BK46" si="39">AW18</f>
        <v>0</v>
      </c>
      <c r="BL18" s="228">
        <f t="shared" ref="BL18:BL46" si="40">AY18</f>
        <v>0</v>
      </c>
      <c r="BM18" s="228">
        <f t="shared" si="18"/>
        <v>0</v>
      </c>
      <c r="BN18" s="229">
        <f t="shared" si="19"/>
        <v>0</v>
      </c>
      <c r="BO18" s="228">
        <f t="shared" si="20"/>
        <v>0</v>
      </c>
      <c r="BP18" s="228">
        <f t="shared" si="21"/>
        <v>0</v>
      </c>
      <c r="BQ18" s="228">
        <f t="shared" si="22"/>
        <v>0</v>
      </c>
      <c r="BR18" s="228">
        <f t="shared" si="23"/>
        <v>12</v>
      </c>
      <c r="BS18" s="228">
        <f t="shared" ref="BS18:BS56" si="41">IF($W18=1,SUM($O$103,$O$105),0)</f>
        <v>0</v>
      </c>
      <c r="BT18" s="228">
        <f t="shared" si="24"/>
        <v>0.18</v>
      </c>
      <c r="BU18" s="229">
        <f t="shared" ref="BU18:BU46" si="42">SUM(BO18:BP18,BR18:BT18)</f>
        <v>12.18</v>
      </c>
      <c r="BV18" s="229">
        <f t="shared" si="25"/>
        <v>-12.18</v>
      </c>
      <c r="BW18" s="166"/>
      <c r="BX18" s="158">
        <f t="shared" ref="BX18:BX56" si="43">IFERROR(-PPMT($P$67,$W18-$F$16,$F$17,SUM(P$31,P$51)),0)</f>
        <v>0</v>
      </c>
      <c r="BY18" s="285"/>
      <c r="CA18"/>
    </row>
    <row r="19" spans="1:79" s="176" customFormat="1">
      <c r="C19" s="176" t="s">
        <v>64</v>
      </c>
      <c r="F19" s="137">
        <f>EOMONTH(F18,12*F16-1)</f>
        <v>46477</v>
      </c>
      <c r="J19" s="197"/>
      <c r="N19" s="177"/>
      <c r="V19" s="58">
        <f t="shared" si="26"/>
        <v>46477</v>
      </c>
      <c r="W19" s="7">
        <v>3</v>
      </c>
      <c r="X19" s="282" t="str">
        <f t="shared" si="27"/>
        <v>整備期間</v>
      </c>
      <c r="Y19" s="239">
        <f t="shared" si="0"/>
        <v>855</v>
      </c>
      <c r="Z19" s="230">
        <f t="shared" si="1"/>
        <v>448.875</v>
      </c>
      <c r="AA19" s="230">
        <f t="shared" si="2"/>
        <v>1496.25</v>
      </c>
      <c r="AB19" s="230">
        <f t="shared" si="3"/>
        <v>0</v>
      </c>
      <c r="AC19" s="231">
        <f t="shared" si="28"/>
        <v>1303.875</v>
      </c>
      <c r="AD19" s="239">
        <f t="shared" si="4"/>
        <v>2850</v>
      </c>
      <c r="AE19" s="230">
        <f t="shared" si="5"/>
        <v>0</v>
      </c>
      <c r="AF19" s="230">
        <f t="shared" si="6"/>
        <v>10</v>
      </c>
      <c r="AG19" s="230">
        <f>IF(AND(SUM($AA$16:AA18)&gt;0,SUM($AG$16:AG18)&lt;$O$62,$W19&gt;=$O$65),$O$64,0)</f>
        <v>0</v>
      </c>
      <c r="AH19" s="228">
        <f>IF(SUM($AA$17:$AA18)&gt;0,($O$62-SUM($AG$17:$AG18))*$E$65,0)</f>
        <v>0</v>
      </c>
      <c r="AI19" s="231">
        <f t="shared" si="29"/>
        <v>2860</v>
      </c>
      <c r="AJ19" s="228">
        <f t="shared" si="7"/>
        <v>-1556.125</v>
      </c>
      <c r="AK19" s="254"/>
      <c r="AL19" s="255"/>
      <c r="AM19" s="229">
        <f t="shared" si="8"/>
        <v>-1405.5716693192921</v>
      </c>
      <c r="AN19" s="164"/>
      <c r="AO19" s="227">
        <f t="shared" si="9"/>
        <v>720</v>
      </c>
      <c r="AP19" s="228">
        <f t="shared" si="10"/>
        <v>108</v>
      </c>
      <c r="AQ19" s="228">
        <f t="shared" si="11"/>
        <v>360</v>
      </c>
      <c r="AR19" s="230">
        <f t="shared" si="12"/>
        <v>0</v>
      </c>
      <c r="AS19" s="231">
        <f t="shared" si="30"/>
        <v>828</v>
      </c>
      <c r="AT19" s="230">
        <f t="shared" si="13"/>
        <v>1200</v>
      </c>
      <c r="AU19" s="230">
        <f t="shared" si="14"/>
        <v>0</v>
      </c>
      <c r="AV19" s="230">
        <f t="shared" si="15"/>
        <v>0</v>
      </c>
      <c r="AW19" s="230">
        <f t="shared" si="31"/>
        <v>0</v>
      </c>
      <c r="AX19" s="230">
        <f t="shared" si="32"/>
        <v>6</v>
      </c>
      <c r="AY19" s="230">
        <f t="shared" si="16"/>
        <v>0</v>
      </c>
      <c r="AZ19" s="230">
        <f>IF(AND(SUM($AQ$16:AQ18)&gt;0,SUM($AZ$16:AZ18)&lt;$P$62,$W19&gt;=$P$65),$P$64,0)</f>
        <v>0</v>
      </c>
      <c r="BA19" s="230">
        <f>IF(SUM($AQ$17:$AQ18)&gt;0,($P$62-SUM($AZ$17:$AZ18))*$F$65,0)</f>
        <v>0</v>
      </c>
      <c r="BB19" s="231">
        <f t="shared" si="33"/>
        <v>1206</v>
      </c>
      <c r="BC19" s="228">
        <f t="shared" si="34"/>
        <v>-378</v>
      </c>
      <c r="BD19" s="229">
        <f t="shared" si="17"/>
        <v>-341.42892826906092</v>
      </c>
      <c r="BE19" s="48"/>
      <c r="BF19" s="46">
        <f t="shared" si="35"/>
        <v>0.9032511329869336</v>
      </c>
      <c r="BG19" s="19"/>
      <c r="BH19" s="227">
        <f t="shared" si="36"/>
        <v>1200</v>
      </c>
      <c r="BI19" s="227">
        <f t="shared" si="37"/>
        <v>0</v>
      </c>
      <c r="BJ19" s="228">
        <f t="shared" si="38"/>
        <v>0</v>
      </c>
      <c r="BK19" s="228">
        <f t="shared" si="39"/>
        <v>0</v>
      </c>
      <c r="BL19" s="228">
        <f t="shared" si="40"/>
        <v>0</v>
      </c>
      <c r="BM19" s="228">
        <f t="shared" si="18"/>
        <v>0</v>
      </c>
      <c r="BN19" s="229">
        <f t="shared" si="19"/>
        <v>1200</v>
      </c>
      <c r="BO19" s="228">
        <f t="shared" si="20"/>
        <v>2400</v>
      </c>
      <c r="BP19" s="228">
        <f t="shared" si="21"/>
        <v>0</v>
      </c>
      <c r="BQ19" s="228">
        <f t="shared" si="22"/>
        <v>0</v>
      </c>
      <c r="BR19" s="228">
        <f t="shared" si="23"/>
        <v>12</v>
      </c>
      <c r="BS19" s="228">
        <f t="shared" si="41"/>
        <v>0</v>
      </c>
      <c r="BT19" s="228">
        <f t="shared" si="24"/>
        <v>0.18</v>
      </c>
      <c r="BU19" s="229">
        <f t="shared" si="42"/>
        <v>2412.1799999999998</v>
      </c>
      <c r="BV19" s="229">
        <f t="shared" si="25"/>
        <v>-1212.1799999999998</v>
      </c>
      <c r="BW19" s="166"/>
      <c r="BX19" s="158">
        <f t="shared" si="43"/>
        <v>0</v>
      </c>
      <c r="BY19" s="285"/>
      <c r="BZ19" s="177"/>
    </row>
    <row r="20" spans="1:79" ht="15.75" customHeight="1">
      <c r="C20" t="s">
        <v>65</v>
      </c>
      <c r="F20" s="137">
        <f>F19+1</f>
        <v>46478</v>
      </c>
      <c r="J20" s="175"/>
      <c r="V20" s="58">
        <f t="shared" si="26"/>
        <v>46843</v>
      </c>
      <c r="W20" s="7">
        <v>4</v>
      </c>
      <c r="X20" s="282" t="str">
        <f t="shared" si="27"/>
        <v>維持管理・運営期間</v>
      </c>
      <c r="Y20" s="239">
        <f t="shared" si="0"/>
        <v>0</v>
      </c>
      <c r="Z20" s="230">
        <f t="shared" si="1"/>
        <v>0</v>
      </c>
      <c r="AA20" s="230">
        <f t="shared" si="2"/>
        <v>0</v>
      </c>
      <c r="AB20" s="230">
        <f t="shared" si="3"/>
        <v>0</v>
      </c>
      <c r="AC20" s="231">
        <f t="shared" si="28"/>
        <v>0</v>
      </c>
      <c r="AD20" s="239">
        <f t="shared" si="4"/>
        <v>0</v>
      </c>
      <c r="AE20" s="230">
        <f t="shared" si="5"/>
        <v>50</v>
      </c>
      <c r="AF20" s="230">
        <f t="shared" si="6"/>
        <v>10</v>
      </c>
      <c r="AG20" s="230">
        <f>IF(AND(SUM($AA$16:AA19)&gt;0,SUM($AG$16:AG19)&lt;$O$62,$W20&gt;=$O$65),$O$64,0)</f>
        <v>0</v>
      </c>
      <c r="AH20" s="228">
        <f>IF(SUM($AA$17:$AA19)&gt;0,($O$62-SUM($AG$17:$AG19))*$E$65,0)</f>
        <v>22.443749999999998</v>
      </c>
      <c r="AI20" s="231">
        <f t="shared" si="29"/>
        <v>60</v>
      </c>
      <c r="AJ20" s="228">
        <f t="shared" si="7"/>
        <v>-60</v>
      </c>
      <c r="AK20" s="253">
        <f>(SUM($P$31,$P$51)-SUM($AU$17:AU19))*$O$109</f>
        <v>19.372</v>
      </c>
      <c r="AL20" s="255"/>
      <c r="AM20" s="229">
        <f t="shared" si="8"/>
        <v>-52.387692585032397</v>
      </c>
      <c r="AN20" s="164"/>
      <c r="AO20" s="227">
        <f t="shared" si="9"/>
        <v>0</v>
      </c>
      <c r="AP20" s="228">
        <f t="shared" si="10"/>
        <v>0</v>
      </c>
      <c r="AQ20" s="228">
        <f t="shared" si="11"/>
        <v>0</v>
      </c>
      <c r="AR20" s="230">
        <f t="shared" si="12"/>
        <v>0</v>
      </c>
      <c r="AS20" s="231">
        <f t="shared" si="30"/>
        <v>0</v>
      </c>
      <c r="AT20" s="230">
        <f t="shared" si="13"/>
        <v>0</v>
      </c>
      <c r="AU20" s="230">
        <f t="shared" si="14"/>
        <v>45.098468500778019</v>
      </c>
      <c r="AV20" s="230">
        <f t="shared" si="15"/>
        <v>52.771999999999998</v>
      </c>
      <c r="AW20" s="230">
        <f t="shared" si="31"/>
        <v>40</v>
      </c>
      <c r="AX20" s="230">
        <f t="shared" si="32"/>
        <v>6</v>
      </c>
      <c r="AY20" s="230">
        <f t="shared" si="16"/>
        <v>12.18</v>
      </c>
      <c r="AZ20" s="230">
        <f>IF(AND(SUM($AQ$16:AQ19)&gt;0,SUM($AZ$16:AZ19)&lt;$P$62,$W20&gt;=$P$65),$P$64,0)</f>
        <v>0</v>
      </c>
      <c r="BA20" s="230">
        <f>IF(SUM($AQ$17:$AQ19)&gt;0,($P$62-SUM($AZ$17:$AZ19))*$F$65,0)</f>
        <v>5.3999999999999995</v>
      </c>
      <c r="BB20" s="231">
        <f t="shared" si="33"/>
        <v>156.05046850077804</v>
      </c>
      <c r="BC20" s="228">
        <f t="shared" si="34"/>
        <v>-156.05046850077804</v>
      </c>
      <c r="BD20" s="229">
        <f t="shared" si="17"/>
        <v>-136.25206619281735</v>
      </c>
      <c r="BE20" s="48"/>
      <c r="BF20" s="46">
        <f t="shared" si="35"/>
        <v>0.87312820975053995</v>
      </c>
      <c r="BH20" s="227">
        <f t="shared" si="36"/>
        <v>0</v>
      </c>
      <c r="BI20" s="227">
        <f t="shared" si="37"/>
        <v>45.098468500778019</v>
      </c>
      <c r="BJ20" s="228">
        <f t="shared" si="38"/>
        <v>52.771999999999998</v>
      </c>
      <c r="BK20" s="228">
        <f t="shared" si="39"/>
        <v>40</v>
      </c>
      <c r="BL20" s="228">
        <f t="shared" si="40"/>
        <v>12.18</v>
      </c>
      <c r="BM20" s="228">
        <f t="shared" si="18"/>
        <v>0</v>
      </c>
      <c r="BN20" s="229">
        <f t="shared" si="19"/>
        <v>150.05046850077804</v>
      </c>
      <c r="BO20" s="228">
        <f t="shared" si="20"/>
        <v>0</v>
      </c>
      <c r="BP20" s="228">
        <f t="shared" si="21"/>
        <v>40</v>
      </c>
      <c r="BQ20" s="228">
        <f t="shared" si="22"/>
        <v>39.411999999999999</v>
      </c>
      <c r="BR20" s="228">
        <f t="shared" si="23"/>
        <v>12</v>
      </c>
      <c r="BS20" s="228">
        <f t="shared" si="41"/>
        <v>0</v>
      </c>
      <c r="BT20" s="228">
        <f t="shared" si="24"/>
        <v>0.18</v>
      </c>
      <c r="BU20" s="229">
        <f t="shared" si="42"/>
        <v>52.18</v>
      </c>
      <c r="BV20" s="229">
        <f t="shared" si="25"/>
        <v>97.870468500778031</v>
      </c>
      <c r="BW20" s="166"/>
      <c r="BX20" s="158">
        <f t="shared" si="43"/>
        <v>49.973575029025895</v>
      </c>
      <c r="BY20" s="286">
        <f>IF(BV20-BX20&gt;=0,0,1)</f>
        <v>0</v>
      </c>
      <c r="CA20"/>
    </row>
    <row r="21" spans="1:79" ht="15.75" customHeight="1">
      <c r="C21" t="s">
        <v>66</v>
      </c>
      <c r="F21" s="137">
        <f>EOMONTH(F20,12*F17-1)</f>
        <v>53782</v>
      </c>
      <c r="J21" s="175"/>
      <c r="V21" s="58">
        <f t="shared" si="26"/>
        <v>47208</v>
      </c>
      <c r="W21" s="7">
        <v>5</v>
      </c>
      <c r="X21" s="282" t="str">
        <f t="shared" si="27"/>
        <v>維持管理・運営期間</v>
      </c>
      <c r="Y21" s="239">
        <f t="shared" si="0"/>
        <v>0</v>
      </c>
      <c r="Z21" s="230">
        <f t="shared" si="1"/>
        <v>0</v>
      </c>
      <c r="AA21" s="230">
        <f t="shared" si="2"/>
        <v>0</v>
      </c>
      <c r="AB21" s="230">
        <f t="shared" si="3"/>
        <v>0</v>
      </c>
      <c r="AC21" s="231">
        <f t="shared" si="28"/>
        <v>0</v>
      </c>
      <c r="AD21" s="239">
        <f t="shared" si="4"/>
        <v>0</v>
      </c>
      <c r="AE21" s="230">
        <f t="shared" si="5"/>
        <v>50</v>
      </c>
      <c r="AF21" s="230">
        <f t="shared" si="6"/>
        <v>10</v>
      </c>
      <c r="AG21" s="230">
        <f>IF(AND(SUM($AA$16:AA20)&gt;0,SUM($AG$16:AG20)&lt;$O$62,$W21&gt;=$O$65),$O$64,0)</f>
        <v>0</v>
      </c>
      <c r="AH21" s="228">
        <f>IF(SUM($AA$17:$AA20)&gt;0,($O$62-SUM($AG$17:$AG20))*$E$65,0)</f>
        <v>22.443749999999998</v>
      </c>
      <c r="AI21" s="231">
        <f t="shared" si="29"/>
        <v>60</v>
      </c>
      <c r="AJ21" s="228">
        <f t="shared" si="7"/>
        <v>-60</v>
      </c>
      <c r="AK21" s="253">
        <f>(SUM($P$31,$P$51)-SUM($AU$17:AU20))*$O$109</f>
        <v>18.718072206738718</v>
      </c>
      <c r="AL21" s="255"/>
      <c r="AM21" s="229">
        <f t="shared" si="8"/>
        <v>-50.640592155662056</v>
      </c>
      <c r="AN21" s="164"/>
      <c r="AO21" s="227">
        <f t="shared" si="9"/>
        <v>0</v>
      </c>
      <c r="AP21" s="228">
        <f t="shared" si="10"/>
        <v>0</v>
      </c>
      <c r="AQ21" s="228">
        <f t="shared" si="11"/>
        <v>0</v>
      </c>
      <c r="AR21" s="230">
        <f t="shared" si="12"/>
        <v>0</v>
      </c>
      <c r="AS21" s="231">
        <f t="shared" si="30"/>
        <v>0</v>
      </c>
      <c r="AT21" s="230">
        <f t="shared" si="13"/>
        <v>0</v>
      </c>
      <c r="AU21" s="230">
        <f t="shared" si="14"/>
        <v>46.879858006558749</v>
      </c>
      <c r="AV21" s="230">
        <f t="shared" si="15"/>
        <v>50.990610494219261</v>
      </c>
      <c r="AW21" s="230">
        <f t="shared" si="31"/>
        <v>40</v>
      </c>
      <c r="AX21" s="230">
        <f t="shared" si="32"/>
        <v>6</v>
      </c>
      <c r="AY21" s="230">
        <f t="shared" si="16"/>
        <v>12.18</v>
      </c>
      <c r="AZ21" s="230">
        <f>IF(AND(SUM($AQ$16:AQ20)&gt;0,SUM($AZ$16:AZ20)&lt;$P$62,$W21&gt;=$P$65),$P$64,0)</f>
        <v>0</v>
      </c>
      <c r="BA21" s="230">
        <f>IF(SUM($AQ$17:$AQ20)&gt;0,($P$62-SUM($AZ$17:$AZ20))*$F$65,0)</f>
        <v>5.3999999999999995</v>
      </c>
      <c r="BB21" s="231">
        <f t="shared" si="33"/>
        <v>156.05046850077801</v>
      </c>
      <c r="BC21" s="228">
        <f t="shared" si="34"/>
        <v>-156.05046850077801</v>
      </c>
      <c r="BD21" s="229">
        <f t="shared" si="17"/>
        <v>-131.7081355174648</v>
      </c>
      <c r="BE21" s="48"/>
      <c r="BF21" s="46">
        <f t="shared" si="35"/>
        <v>0.84400986926103427</v>
      </c>
      <c r="BH21" s="227">
        <f t="shared" si="36"/>
        <v>0</v>
      </c>
      <c r="BI21" s="227">
        <f t="shared" si="37"/>
        <v>46.879858006558749</v>
      </c>
      <c r="BJ21" s="228">
        <f t="shared" si="38"/>
        <v>50.990610494219261</v>
      </c>
      <c r="BK21" s="228">
        <f t="shared" si="39"/>
        <v>40</v>
      </c>
      <c r="BL21" s="228">
        <f t="shared" si="40"/>
        <v>12.18</v>
      </c>
      <c r="BM21" s="228">
        <f t="shared" si="18"/>
        <v>0</v>
      </c>
      <c r="BN21" s="229">
        <f t="shared" si="19"/>
        <v>150.05046850077801</v>
      </c>
      <c r="BO21" s="228">
        <f t="shared" si="20"/>
        <v>0</v>
      </c>
      <c r="BP21" s="228">
        <f t="shared" si="21"/>
        <v>40</v>
      </c>
      <c r="BQ21" s="228">
        <f t="shared" si="22"/>
        <v>37.937779536643731</v>
      </c>
      <c r="BR21" s="228">
        <f t="shared" si="23"/>
        <v>12</v>
      </c>
      <c r="BS21" s="228">
        <f t="shared" si="41"/>
        <v>0</v>
      </c>
      <c r="BT21" s="228">
        <f t="shared" si="24"/>
        <v>0.18</v>
      </c>
      <c r="BU21" s="229">
        <f t="shared" si="42"/>
        <v>52.18</v>
      </c>
      <c r="BV21" s="229">
        <f t="shared" si="25"/>
        <v>97.870468500778003</v>
      </c>
      <c r="BW21" s="166"/>
      <c r="BX21" s="158">
        <f t="shared" si="43"/>
        <v>51.447795492382156</v>
      </c>
      <c r="BY21" s="286">
        <f t="shared" ref="BY21:BY56" si="44">IF(BV21-BX21&gt;=0,0,1)</f>
        <v>0</v>
      </c>
      <c r="CA21"/>
    </row>
    <row r="22" spans="1:79" ht="15.75" customHeight="1">
      <c r="B22" s="56" t="s">
        <v>179</v>
      </c>
      <c r="C22" s="19"/>
      <c r="I22" s="72"/>
      <c r="J22" s="175" t="s">
        <v>179</v>
      </c>
      <c r="N22" s="19" t="s">
        <v>6</v>
      </c>
      <c r="O22" s="36">
        <f>SUM(F23:F24)</f>
        <v>3.4499999999999996E-2</v>
      </c>
      <c r="V22" s="58">
        <f t="shared" si="26"/>
        <v>47573</v>
      </c>
      <c r="W22" s="7">
        <v>6</v>
      </c>
      <c r="X22" s="282" t="str">
        <f t="shared" si="27"/>
        <v>維持管理・運営期間</v>
      </c>
      <c r="Y22" s="239">
        <f t="shared" si="0"/>
        <v>0</v>
      </c>
      <c r="Z22" s="230">
        <f t="shared" si="1"/>
        <v>0</v>
      </c>
      <c r="AA22" s="230">
        <f t="shared" si="2"/>
        <v>0</v>
      </c>
      <c r="AB22" s="230">
        <f t="shared" si="3"/>
        <v>0</v>
      </c>
      <c r="AC22" s="231">
        <f t="shared" si="28"/>
        <v>0</v>
      </c>
      <c r="AD22" s="239">
        <f t="shared" si="4"/>
        <v>0</v>
      </c>
      <c r="AE22" s="230">
        <f t="shared" si="5"/>
        <v>50</v>
      </c>
      <c r="AF22" s="230">
        <f t="shared" si="6"/>
        <v>10</v>
      </c>
      <c r="AG22" s="230">
        <f>IF(AND(SUM($AA$16:AA21)&gt;0,SUM($AG$16:AG21)&lt;$O$62,$W22&gt;=$O$65),$O$64,0)</f>
        <v>0</v>
      </c>
      <c r="AH22" s="228">
        <f>IF(SUM($AA$17:$AA21)&gt;0,($O$62-SUM($AG$17:$AG21))*$E$65,0)</f>
        <v>22.443749999999998</v>
      </c>
      <c r="AI22" s="231">
        <f t="shared" si="29"/>
        <v>60</v>
      </c>
      <c r="AJ22" s="228">
        <f t="shared" si="7"/>
        <v>-60</v>
      </c>
      <c r="AK22" s="253">
        <f>(SUM($P$31,$P$51)-SUM($AU$17:AU21))*$O$109</f>
        <v>18.038314265643617</v>
      </c>
      <c r="AL22" s="255"/>
      <c r="AM22" s="229">
        <f t="shared" si="8"/>
        <v>-48.951756554530746</v>
      </c>
      <c r="AN22" s="164"/>
      <c r="AO22" s="227">
        <f t="shared" si="9"/>
        <v>0</v>
      </c>
      <c r="AP22" s="228">
        <f t="shared" si="10"/>
        <v>0</v>
      </c>
      <c r="AQ22" s="228">
        <f t="shared" si="11"/>
        <v>0</v>
      </c>
      <c r="AR22" s="230">
        <f t="shared" si="12"/>
        <v>0</v>
      </c>
      <c r="AS22" s="231">
        <f t="shared" si="30"/>
        <v>0</v>
      </c>
      <c r="AT22" s="230">
        <f t="shared" si="13"/>
        <v>0</v>
      </c>
      <c r="AU22" s="230">
        <f t="shared" si="14"/>
        <v>48.731612397817813</v>
      </c>
      <c r="AV22" s="230">
        <f t="shared" si="15"/>
        <v>49.138856102960197</v>
      </c>
      <c r="AW22" s="230">
        <f t="shared" si="31"/>
        <v>40</v>
      </c>
      <c r="AX22" s="230">
        <f t="shared" si="32"/>
        <v>6</v>
      </c>
      <c r="AY22" s="230">
        <f t="shared" si="16"/>
        <v>12.18</v>
      </c>
      <c r="AZ22" s="230">
        <f>IF(AND(SUM($AQ$16:AQ21)&gt;0,SUM($AZ$16:AZ21)&lt;$P$62,$W22&gt;=$P$65),$P$64,0)</f>
        <v>0</v>
      </c>
      <c r="BA22" s="230">
        <f>IF(SUM($AQ$17:$AQ21)&gt;0,($P$62-SUM($AZ$17:$AZ21))*$F$65,0)</f>
        <v>5.3999999999999995</v>
      </c>
      <c r="BB22" s="231">
        <f t="shared" si="33"/>
        <v>156.05046850077801</v>
      </c>
      <c r="BC22" s="228">
        <f t="shared" si="34"/>
        <v>-156.05046850077801</v>
      </c>
      <c r="BD22" s="229">
        <f t="shared" si="17"/>
        <v>-127.31574240450924</v>
      </c>
      <c r="BE22" s="48"/>
      <c r="BF22" s="46">
        <f t="shared" si="35"/>
        <v>0.81586260924217913</v>
      </c>
      <c r="BH22" s="227">
        <f t="shared" si="36"/>
        <v>0</v>
      </c>
      <c r="BI22" s="227">
        <f t="shared" si="37"/>
        <v>48.731612397817813</v>
      </c>
      <c r="BJ22" s="228">
        <f t="shared" si="38"/>
        <v>49.138856102960197</v>
      </c>
      <c r="BK22" s="228">
        <f t="shared" si="39"/>
        <v>40</v>
      </c>
      <c r="BL22" s="228">
        <f t="shared" si="40"/>
        <v>12.18</v>
      </c>
      <c r="BM22" s="228">
        <f t="shared" si="18"/>
        <v>0</v>
      </c>
      <c r="BN22" s="229">
        <f t="shared" si="19"/>
        <v>150.05046850077801</v>
      </c>
      <c r="BO22" s="228">
        <f t="shared" si="20"/>
        <v>0</v>
      </c>
      <c r="BP22" s="228">
        <f t="shared" si="21"/>
        <v>40</v>
      </c>
      <c r="BQ22" s="228">
        <f t="shared" si="22"/>
        <v>36.420069569618462</v>
      </c>
      <c r="BR22" s="228">
        <f t="shared" si="23"/>
        <v>12</v>
      </c>
      <c r="BS22" s="228">
        <f t="shared" si="41"/>
        <v>0</v>
      </c>
      <c r="BT22" s="228">
        <f t="shared" si="24"/>
        <v>0.18</v>
      </c>
      <c r="BU22" s="229">
        <f t="shared" si="42"/>
        <v>52.18</v>
      </c>
      <c r="BV22" s="229">
        <f t="shared" si="25"/>
        <v>97.870468500778003</v>
      </c>
      <c r="BW22" s="166"/>
      <c r="BX22" s="158">
        <f t="shared" si="43"/>
        <v>52.965505459407424</v>
      </c>
      <c r="BY22" s="286">
        <f t="shared" si="44"/>
        <v>0</v>
      </c>
      <c r="CA22"/>
    </row>
    <row r="23" spans="1:79" ht="15.75" customHeight="1">
      <c r="C23" t="s">
        <v>180</v>
      </c>
      <c r="F23" s="15">
        <v>1.4500000000000001E-2</v>
      </c>
      <c r="H23" t="s">
        <v>178</v>
      </c>
      <c r="J23" s="175"/>
      <c r="V23" s="58">
        <f t="shared" si="26"/>
        <v>47938</v>
      </c>
      <c r="W23" s="7">
        <v>7</v>
      </c>
      <c r="X23" s="282" t="str">
        <f t="shared" si="27"/>
        <v>維持管理・運営期間</v>
      </c>
      <c r="Y23" s="239">
        <f t="shared" si="0"/>
        <v>0</v>
      </c>
      <c r="Z23" s="230">
        <f t="shared" si="1"/>
        <v>0</v>
      </c>
      <c r="AA23" s="230">
        <f t="shared" si="2"/>
        <v>0</v>
      </c>
      <c r="AB23" s="230">
        <f t="shared" si="3"/>
        <v>0</v>
      </c>
      <c r="AC23" s="231">
        <f t="shared" si="28"/>
        <v>0</v>
      </c>
      <c r="AD23" s="239">
        <f t="shared" si="4"/>
        <v>0</v>
      </c>
      <c r="AE23" s="230">
        <f t="shared" si="5"/>
        <v>50</v>
      </c>
      <c r="AF23" s="230">
        <f t="shared" si="6"/>
        <v>10</v>
      </c>
      <c r="AG23" s="230">
        <f>IF(AND(SUM($AA$16:AA22)&gt;0,SUM($AG$16:AG22)&lt;$O$62,$W23&gt;=$O$65),$O$64,0)</f>
        <v>74.8125</v>
      </c>
      <c r="AH23" s="228">
        <f>IF(SUM($AA$17:$AA22)&gt;0,($O$62-SUM($AG$17:$AG22))*$E$65,0)</f>
        <v>22.443749999999998</v>
      </c>
      <c r="AI23" s="231">
        <f t="shared" si="29"/>
        <v>60</v>
      </c>
      <c r="AJ23" s="228">
        <f t="shared" si="7"/>
        <v>-60</v>
      </c>
      <c r="AK23" s="253">
        <f>(SUM($P$31,$P$51)-SUM($AU$17:AU22))*$O$109</f>
        <v>17.331705885875259</v>
      </c>
      <c r="AL23" s="255"/>
      <c r="AM23" s="229">
        <f t="shared" si="8"/>
        <v>-47.319242682001693</v>
      </c>
      <c r="AN23" s="164"/>
      <c r="AO23" s="227">
        <f t="shared" si="9"/>
        <v>0</v>
      </c>
      <c r="AP23" s="228">
        <f t="shared" si="10"/>
        <v>0</v>
      </c>
      <c r="AQ23" s="228">
        <f t="shared" si="11"/>
        <v>0</v>
      </c>
      <c r="AR23" s="230">
        <f t="shared" si="12"/>
        <v>0</v>
      </c>
      <c r="AS23" s="231">
        <f t="shared" si="30"/>
        <v>0</v>
      </c>
      <c r="AT23" s="230">
        <f t="shared" si="13"/>
        <v>0</v>
      </c>
      <c r="AU23" s="230">
        <f t="shared" si="14"/>
        <v>50.656511087531626</v>
      </c>
      <c r="AV23" s="230">
        <f t="shared" si="15"/>
        <v>47.213957413246398</v>
      </c>
      <c r="AW23" s="230">
        <f t="shared" si="31"/>
        <v>40</v>
      </c>
      <c r="AX23" s="230">
        <f t="shared" si="32"/>
        <v>6</v>
      </c>
      <c r="AY23" s="230">
        <f t="shared" si="16"/>
        <v>12.18</v>
      </c>
      <c r="AZ23" s="230">
        <f>IF(AND(SUM($AQ$16:AQ22)&gt;0,SUM($AZ$16:AZ22)&lt;$P$62,$W23&gt;=$P$65),$P$64,0)</f>
        <v>18</v>
      </c>
      <c r="BA23" s="230">
        <f>IF(SUM($AQ$17:$AQ22)&gt;0,($P$62-SUM($AZ$17:$AZ22))*$F$65,0)</f>
        <v>5.3999999999999995</v>
      </c>
      <c r="BB23" s="231">
        <f t="shared" si="33"/>
        <v>156.05046850077804</v>
      </c>
      <c r="BC23" s="228">
        <f t="shared" si="34"/>
        <v>-156.05046850077804</v>
      </c>
      <c r="BD23" s="229">
        <f t="shared" si="17"/>
        <v>-123.06983316047294</v>
      </c>
      <c r="BE23" s="48"/>
      <c r="BF23" s="46">
        <f t="shared" si="35"/>
        <v>0.7886540447000282</v>
      </c>
      <c r="BH23" s="227">
        <f t="shared" si="36"/>
        <v>0</v>
      </c>
      <c r="BI23" s="227">
        <f t="shared" si="37"/>
        <v>50.656511087531626</v>
      </c>
      <c r="BJ23" s="228">
        <f t="shared" si="38"/>
        <v>47.213957413246398</v>
      </c>
      <c r="BK23" s="228">
        <f t="shared" si="39"/>
        <v>40</v>
      </c>
      <c r="BL23" s="228">
        <f t="shared" si="40"/>
        <v>12.18</v>
      </c>
      <c r="BM23" s="228">
        <f t="shared" si="18"/>
        <v>0</v>
      </c>
      <c r="BN23" s="229">
        <f t="shared" si="19"/>
        <v>150.05046850077804</v>
      </c>
      <c r="BO23" s="228">
        <f t="shared" si="20"/>
        <v>0</v>
      </c>
      <c r="BP23" s="228">
        <f t="shared" si="21"/>
        <v>40</v>
      </c>
      <c r="BQ23" s="228">
        <f t="shared" si="22"/>
        <v>34.857587158565948</v>
      </c>
      <c r="BR23" s="228">
        <f t="shared" si="23"/>
        <v>12</v>
      </c>
      <c r="BS23" s="228">
        <f t="shared" si="41"/>
        <v>0</v>
      </c>
      <c r="BT23" s="228">
        <f t="shared" si="24"/>
        <v>0.18</v>
      </c>
      <c r="BU23" s="229">
        <f t="shared" si="42"/>
        <v>52.18</v>
      </c>
      <c r="BV23" s="229">
        <f t="shared" si="25"/>
        <v>97.870468500778031</v>
      </c>
      <c r="BW23" s="166"/>
      <c r="BX23" s="158">
        <f t="shared" si="43"/>
        <v>54.527987870459938</v>
      </c>
      <c r="BY23" s="286">
        <f t="shared" si="44"/>
        <v>0</v>
      </c>
      <c r="CA23"/>
    </row>
    <row r="24" spans="1:79" ht="15.75" customHeight="1">
      <c r="C24" t="s">
        <v>26</v>
      </c>
      <c r="F24" s="198">
        <f>事業費用概算!J34</f>
        <v>1.9999999999999997E-2</v>
      </c>
      <c r="J24" s="175"/>
      <c r="V24" s="58">
        <f t="shared" si="26"/>
        <v>48304</v>
      </c>
      <c r="W24" s="7">
        <v>8</v>
      </c>
      <c r="X24" s="282" t="str">
        <f t="shared" si="27"/>
        <v>維持管理・運営期間</v>
      </c>
      <c r="Y24" s="239">
        <f t="shared" si="0"/>
        <v>0</v>
      </c>
      <c r="Z24" s="230">
        <f t="shared" si="1"/>
        <v>0</v>
      </c>
      <c r="AA24" s="230">
        <f t="shared" si="2"/>
        <v>0</v>
      </c>
      <c r="AB24" s="230">
        <f t="shared" si="3"/>
        <v>0</v>
      </c>
      <c r="AC24" s="231">
        <f t="shared" si="28"/>
        <v>0</v>
      </c>
      <c r="AD24" s="239">
        <f t="shared" si="4"/>
        <v>0</v>
      </c>
      <c r="AE24" s="230">
        <f t="shared" si="5"/>
        <v>50</v>
      </c>
      <c r="AF24" s="230">
        <f t="shared" si="6"/>
        <v>10</v>
      </c>
      <c r="AG24" s="230">
        <f>IF(AND(SUM($AA$16:AA23)&gt;0,SUM($AG$16:AG23)&lt;$O$62,$W24&gt;=$O$65),$O$64,0)</f>
        <v>74.8125</v>
      </c>
      <c r="AH24" s="228">
        <f>IF(SUM($AA$17:$AA23)&gt;0,($O$62-SUM($AG$17:$AG23))*$E$65,0)</f>
        <v>21.321562499999999</v>
      </c>
      <c r="AI24" s="231">
        <f t="shared" si="29"/>
        <v>60</v>
      </c>
      <c r="AJ24" s="228">
        <f t="shared" si="7"/>
        <v>-60</v>
      </c>
      <c r="AK24" s="253">
        <f>(SUM($P$31,$P$51)-SUM($AU$17:AU23))*$O$109</f>
        <v>16.597186475106049</v>
      </c>
      <c r="AL24" s="255"/>
      <c r="AM24" s="229">
        <f t="shared" si="8"/>
        <v>-45.741172239730979</v>
      </c>
      <c r="AN24" s="164"/>
      <c r="AO24" s="227">
        <f t="shared" si="9"/>
        <v>0</v>
      </c>
      <c r="AP24" s="228">
        <f t="shared" si="10"/>
        <v>0</v>
      </c>
      <c r="AQ24" s="228">
        <f t="shared" si="11"/>
        <v>0</v>
      </c>
      <c r="AR24" s="230">
        <f t="shared" si="12"/>
        <v>0</v>
      </c>
      <c r="AS24" s="231">
        <f t="shared" si="30"/>
        <v>0</v>
      </c>
      <c r="AT24" s="230">
        <f t="shared" si="13"/>
        <v>0</v>
      </c>
      <c r="AU24" s="230">
        <f t="shared" si="14"/>
        <v>52.657443275489122</v>
      </c>
      <c r="AV24" s="230">
        <f t="shared" si="15"/>
        <v>45.213025225288881</v>
      </c>
      <c r="AW24" s="230">
        <f t="shared" si="31"/>
        <v>40</v>
      </c>
      <c r="AX24" s="230">
        <f t="shared" si="32"/>
        <v>6</v>
      </c>
      <c r="AY24" s="230">
        <f t="shared" si="16"/>
        <v>12.18</v>
      </c>
      <c r="AZ24" s="230">
        <f>IF(AND(SUM($AQ$16:AQ23)&gt;0,SUM($AZ$16:AZ23)&lt;$P$62,$W24&gt;=$P$65),$P$64,0)</f>
        <v>18</v>
      </c>
      <c r="BA24" s="230">
        <f>IF(SUM($AQ$17:$AQ23)&gt;0,($P$62-SUM($AZ$17:$AZ23))*$F$65,0)</f>
        <v>5.13</v>
      </c>
      <c r="BB24" s="231">
        <f t="shared" si="33"/>
        <v>156.05046850077801</v>
      </c>
      <c r="BC24" s="228">
        <f t="shared" si="34"/>
        <v>-156.05046850077801</v>
      </c>
      <c r="BD24" s="229">
        <f t="shared" si="17"/>
        <v>-118.96552262974667</v>
      </c>
      <c r="BE24" s="48"/>
      <c r="BF24" s="46">
        <f t="shared" si="35"/>
        <v>0.76235287066218294</v>
      </c>
      <c r="BH24" s="227">
        <f t="shared" si="36"/>
        <v>0</v>
      </c>
      <c r="BI24" s="227">
        <f t="shared" si="37"/>
        <v>52.657443275489122</v>
      </c>
      <c r="BJ24" s="228">
        <f t="shared" si="38"/>
        <v>45.213025225288881</v>
      </c>
      <c r="BK24" s="228">
        <f t="shared" si="39"/>
        <v>40</v>
      </c>
      <c r="BL24" s="228">
        <f t="shared" si="40"/>
        <v>12.18</v>
      </c>
      <c r="BM24" s="228">
        <f t="shared" si="18"/>
        <v>0</v>
      </c>
      <c r="BN24" s="229">
        <f t="shared" si="19"/>
        <v>150.05046850077801</v>
      </c>
      <c r="BO24" s="228">
        <f t="shared" si="20"/>
        <v>0</v>
      </c>
      <c r="BP24" s="228">
        <f t="shared" si="21"/>
        <v>40</v>
      </c>
      <c r="BQ24" s="228">
        <f t="shared" si="22"/>
        <v>33.249011516387377</v>
      </c>
      <c r="BR24" s="228">
        <f t="shared" si="23"/>
        <v>12</v>
      </c>
      <c r="BS24" s="228">
        <f t="shared" si="41"/>
        <v>0</v>
      </c>
      <c r="BT24" s="228">
        <f t="shared" si="24"/>
        <v>0.18</v>
      </c>
      <c r="BU24" s="229">
        <f t="shared" si="42"/>
        <v>52.18</v>
      </c>
      <c r="BV24" s="229">
        <f t="shared" si="25"/>
        <v>97.870468500778003</v>
      </c>
      <c r="BW24" s="166"/>
      <c r="BX24" s="158">
        <f t="shared" si="43"/>
        <v>56.13656351263851</v>
      </c>
      <c r="BY24" s="286">
        <f t="shared" si="44"/>
        <v>0</v>
      </c>
      <c r="CA24"/>
    </row>
    <row r="25" spans="1:79" ht="15.75" customHeight="1">
      <c r="J25" s="175"/>
      <c r="V25" s="58">
        <f t="shared" si="26"/>
        <v>48669</v>
      </c>
      <c r="W25" s="7">
        <v>9</v>
      </c>
      <c r="X25" s="282" t="str">
        <f t="shared" si="27"/>
        <v>維持管理・運営期間</v>
      </c>
      <c r="Y25" s="239">
        <f t="shared" si="0"/>
        <v>0</v>
      </c>
      <c r="Z25" s="230">
        <f t="shared" si="1"/>
        <v>0</v>
      </c>
      <c r="AA25" s="230">
        <f t="shared" si="2"/>
        <v>0</v>
      </c>
      <c r="AB25" s="230">
        <f t="shared" si="3"/>
        <v>0</v>
      </c>
      <c r="AC25" s="231">
        <f t="shared" si="28"/>
        <v>0</v>
      </c>
      <c r="AD25" s="239">
        <f t="shared" si="4"/>
        <v>0</v>
      </c>
      <c r="AE25" s="230">
        <f t="shared" si="5"/>
        <v>50</v>
      </c>
      <c r="AF25" s="230">
        <f t="shared" si="6"/>
        <v>10</v>
      </c>
      <c r="AG25" s="230">
        <f>IF(AND(SUM($AA$16:AA24)&gt;0,SUM($AG$16:AG24)&lt;$O$62,$W25&gt;=$O$65),$O$64,0)</f>
        <v>74.8125</v>
      </c>
      <c r="AH25" s="228">
        <f>IF(SUM($AA$17:$AA24)&gt;0,($O$62-SUM($AG$17:$AG24))*$E$65,0)</f>
        <v>20.199375</v>
      </c>
      <c r="AI25" s="231">
        <f t="shared" si="29"/>
        <v>60</v>
      </c>
      <c r="AJ25" s="228">
        <f t="shared" si="7"/>
        <v>-60</v>
      </c>
      <c r="AK25" s="253">
        <f>(SUM($P$31,$P$51)-SUM($AU$17:AU24))*$O$109</f>
        <v>15.833653547611458</v>
      </c>
      <c r="AL25" s="255"/>
      <c r="AM25" s="229">
        <f t="shared" si="8"/>
        <v>-44.215729569580446</v>
      </c>
      <c r="AN25" s="164"/>
      <c r="AO25" s="227">
        <f t="shared" si="9"/>
        <v>0</v>
      </c>
      <c r="AP25" s="228">
        <f t="shared" si="10"/>
        <v>0</v>
      </c>
      <c r="AQ25" s="228">
        <f t="shared" si="11"/>
        <v>0</v>
      </c>
      <c r="AR25" s="230">
        <f t="shared" si="12"/>
        <v>0</v>
      </c>
      <c r="AS25" s="231">
        <f t="shared" si="30"/>
        <v>0</v>
      </c>
      <c r="AT25" s="230">
        <f t="shared" si="13"/>
        <v>0</v>
      </c>
      <c r="AU25" s="230">
        <f t="shared" si="14"/>
        <v>54.737412284870942</v>
      </c>
      <c r="AV25" s="230">
        <f t="shared" si="15"/>
        <v>43.133056215907061</v>
      </c>
      <c r="AW25" s="230">
        <f t="shared" si="31"/>
        <v>40</v>
      </c>
      <c r="AX25" s="230">
        <f t="shared" si="32"/>
        <v>6</v>
      </c>
      <c r="AY25" s="230">
        <f t="shared" si="16"/>
        <v>12.18</v>
      </c>
      <c r="AZ25" s="230">
        <f>IF(AND(SUM($AQ$16:AQ24)&gt;0,SUM($AZ$16:AZ24)&lt;$P$62,$W25&gt;=$P$65),$P$64,0)</f>
        <v>18</v>
      </c>
      <c r="BA25" s="230">
        <f>IF(SUM($AQ$17:$AQ24)&gt;0,($P$62-SUM($AZ$17:$AZ24))*$F$65,0)</f>
        <v>4.8599999999999994</v>
      </c>
      <c r="BB25" s="231">
        <f t="shared" si="33"/>
        <v>156.05046850077801</v>
      </c>
      <c r="BC25" s="228">
        <f t="shared" si="34"/>
        <v>-156.05046850077801</v>
      </c>
      <c r="BD25" s="229">
        <f t="shared" si="17"/>
        <v>-114.99808857394554</v>
      </c>
      <c r="BE25" s="48"/>
      <c r="BF25" s="46">
        <f t="shared" si="35"/>
        <v>0.73692882615967414</v>
      </c>
      <c r="BH25" s="227">
        <f t="shared" si="36"/>
        <v>0</v>
      </c>
      <c r="BI25" s="227">
        <f t="shared" si="37"/>
        <v>54.737412284870942</v>
      </c>
      <c r="BJ25" s="228">
        <f t="shared" si="38"/>
        <v>43.133056215907061</v>
      </c>
      <c r="BK25" s="228">
        <f t="shared" si="39"/>
        <v>40</v>
      </c>
      <c r="BL25" s="228">
        <f t="shared" si="40"/>
        <v>12.18</v>
      </c>
      <c r="BM25" s="228">
        <f t="shared" si="18"/>
        <v>0</v>
      </c>
      <c r="BN25" s="229">
        <f t="shared" si="19"/>
        <v>150.05046850077801</v>
      </c>
      <c r="BO25" s="228">
        <f t="shared" si="20"/>
        <v>0</v>
      </c>
      <c r="BP25" s="228">
        <f t="shared" si="21"/>
        <v>40</v>
      </c>
      <c r="BQ25" s="228">
        <f t="shared" si="22"/>
        <v>31.592982892764535</v>
      </c>
      <c r="BR25" s="228">
        <f t="shared" si="23"/>
        <v>12</v>
      </c>
      <c r="BS25" s="228">
        <f t="shared" si="41"/>
        <v>0</v>
      </c>
      <c r="BT25" s="228">
        <f t="shared" si="24"/>
        <v>0.18</v>
      </c>
      <c r="BU25" s="229">
        <f t="shared" si="42"/>
        <v>52.18</v>
      </c>
      <c r="BV25" s="229">
        <f t="shared" si="25"/>
        <v>97.870468500778003</v>
      </c>
      <c r="BW25" s="166"/>
      <c r="BX25" s="158">
        <f t="shared" si="43"/>
        <v>57.792592136261355</v>
      </c>
      <c r="BY25" s="286">
        <f t="shared" si="44"/>
        <v>0</v>
      </c>
      <c r="CA25"/>
    </row>
    <row r="26" spans="1:79" ht="13.5" customHeight="1">
      <c r="J26" s="175"/>
      <c r="V26" s="58">
        <f t="shared" si="26"/>
        <v>49034</v>
      </c>
      <c r="W26" s="7">
        <v>10</v>
      </c>
      <c r="X26" s="282" t="str">
        <f t="shared" si="27"/>
        <v>維持管理・運営期間</v>
      </c>
      <c r="Y26" s="239">
        <f t="shared" si="0"/>
        <v>0</v>
      </c>
      <c r="Z26" s="230">
        <f t="shared" si="1"/>
        <v>0</v>
      </c>
      <c r="AA26" s="230">
        <f t="shared" si="2"/>
        <v>0</v>
      </c>
      <c r="AB26" s="230">
        <f t="shared" si="3"/>
        <v>0</v>
      </c>
      <c r="AC26" s="231">
        <f t="shared" si="28"/>
        <v>0</v>
      </c>
      <c r="AD26" s="239">
        <f t="shared" si="4"/>
        <v>0</v>
      </c>
      <c r="AE26" s="230">
        <f t="shared" si="5"/>
        <v>50</v>
      </c>
      <c r="AF26" s="230">
        <f t="shared" si="6"/>
        <v>10</v>
      </c>
      <c r="AG26" s="230">
        <f>IF(AND(SUM($AA$16:AA25)&gt;0,SUM($AG$16:AG25)&lt;$O$62,$W26&gt;=$O$65),$O$64,0)</f>
        <v>74.8125</v>
      </c>
      <c r="AH26" s="228">
        <f>IF(SUM($AA$17:$AA25)&gt;0,($O$62-SUM($AG$17:$AG25))*$E$65,0)</f>
        <v>19.077187500000001</v>
      </c>
      <c r="AI26" s="231">
        <f t="shared" si="29"/>
        <v>60</v>
      </c>
      <c r="AJ26" s="228">
        <f t="shared" si="7"/>
        <v>-60</v>
      </c>
      <c r="AK26" s="253">
        <f>(SUM($P$31,$P$51)-SUM($AU$17:AU25))*$O$109</f>
        <v>15.039961069480828</v>
      </c>
      <c r="AL26" s="255"/>
      <c r="AM26" s="229">
        <f t="shared" si="8"/>
        <v>-42.741159564601695</v>
      </c>
      <c r="AN26" s="164"/>
      <c r="AO26" s="227">
        <f t="shared" si="9"/>
        <v>0</v>
      </c>
      <c r="AP26" s="228">
        <f t="shared" si="10"/>
        <v>0</v>
      </c>
      <c r="AQ26" s="228">
        <f t="shared" si="11"/>
        <v>0</v>
      </c>
      <c r="AR26" s="230">
        <f t="shared" si="12"/>
        <v>0</v>
      </c>
      <c r="AS26" s="231">
        <f t="shared" si="30"/>
        <v>0</v>
      </c>
      <c r="AT26" s="230">
        <f t="shared" si="13"/>
        <v>0</v>
      </c>
      <c r="AU26" s="230">
        <f t="shared" si="14"/>
        <v>56.899540070123344</v>
      </c>
      <c r="AV26" s="230">
        <f t="shared" si="15"/>
        <v>40.970928430654666</v>
      </c>
      <c r="AW26" s="230">
        <f t="shared" si="31"/>
        <v>40</v>
      </c>
      <c r="AX26" s="230">
        <f t="shared" si="32"/>
        <v>6</v>
      </c>
      <c r="AY26" s="230">
        <f t="shared" si="16"/>
        <v>12.18</v>
      </c>
      <c r="AZ26" s="230">
        <f>IF(AND(SUM($AQ$16:AQ25)&gt;0,SUM($AZ$16:AZ25)&lt;$P$62,$W26&gt;=$P$65),$P$64,0)</f>
        <v>18</v>
      </c>
      <c r="BA26" s="230">
        <f>IF(SUM($AQ$17:$AQ25)&gt;0,($P$62-SUM($AZ$17:$AZ25))*$F$65,0)</f>
        <v>4.59</v>
      </c>
      <c r="BB26" s="231">
        <f t="shared" si="33"/>
        <v>156.05046850077801</v>
      </c>
      <c r="BC26" s="228">
        <f t="shared" si="34"/>
        <v>-156.05046850077801</v>
      </c>
      <c r="BD26" s="229">
        <f t="shared" si="17"/>
        <v>-111.16296623871006</v>
      </c>
      <c r="BE26" s="48"/>
      <c r="BF26" s="46">
        <f t="shared" si="35"/>
        <v>0.71235265941002823</v>
      </c>
      <c r="BH26" s="227">
        <f t="shared" si="36"/>
        <v>0</v>
      </c>
      <c r="BI26" s="227">
        <f t="shared" si="37"/>
        <v>56.899540070123344</v>
      </c>
      <c r="BJ26" s="228">
        <f t="shared" si="38"/>
        <v>40.970928430654666</v>
      </c>
      <c r="BK26" s="228">
        <f t="shared" si="39"/>
        <v>40</v>
      </c>
      <c r="BL26" s="228">
        <f t="shared" si="40"/>
        <v>12.18</v>
      </c>
      <c r="BM26" s="228">
        <f t="shared" si="18"/>
        <v>0</v>
      </c>
      <c r="BN26" s="229">
        <f t="shared" si="19"/>
        <v>150.05046850077801</v>
      </c>
      <c r="BO26" s="228">
        <f t="shared" si="20"/>
        <v>0</v>
      </c>
      <c r="BP26" s="228">
        <f t="shared" si="21"/>
        <v>40</v>
      </c>
      <c r="BQ26" s="228">
        <f t="shared" si="22"/>
        <v>29.888101424744828</v>
      </c>
      <c r="BR26" s="228">
        <f t="shared" si="23"/>
        <v>12</v>
      </c>
      <c r="BS26" s="228">
        <f t="shared" si="41"/>
        <v>0</v>
      </c>
      <c r="BT26" s="228">
        <f t="shared" si="24"/>
        <v>0.18</v>
      </c>
      <c r="BU26" s="229">
        <f t="shared" si="42"/>
        <v>52.18</v>
      </c>
      <c r="BV26" s="229">
        <f t="shared" si="25"/>
        <v>97.870468500778003</v>
      </c>
      <c r="BW26" s="166"/>
      <c r="BX26" s="158">
        <f t="shared" si="43"/>
        <v>59.497473604281062</v>
      </c>
      <c r="BY26" s="286">
        <f t="shared" si="44"/>
        <v>0</v>
      </c>
      <c r="CA26"/>
    </row>
    <row r="27" spans="1:79" ht="15.75" customHeight="1">
      <c r="A27" s="4" t="s">
        <v>118</v>
      </c>
      <c r="H27" s="72"/>
      <c r="I27" s="72"/>
      <c r="J27" s="4" t="s">
        <v>122</v>
      </c>
      <c r="V27" s="58">
        <f t="shared" si="26"/>
        <v>49399</v>
      </c>
      <c r="W27" s="7">
        <v>11</v>
      </c>
      <c r="X27" s="282" t="str">
        <f t="shared" si="27"/>
        <v>維持管理・運営期間</v>
      </c>
      <c r="Y27" s="239">
        <f t="shared" si="0"/>
        <v>0</v>
      </c>
      <c r="Z27" s="230">
        <f t="shared" si="1"/>
        <v>0</v>
      </c>
      <c r="AA27" s="230">
        <f t="shared" si="2"/>
        <v>0</v>
      </c>
      <c r="AB27" s="230">
        <f t="shared" si="3"/>
        <v>0</v>
      </c>
      <c r="AC27" s="231">
        <f t="shared" si="28"/>
        <v>0</v>
      </c>
      <c r="AD27" s="239">
        <f t="shared" si="4"/>
        <v>0</v>
      </c>
      <c r="AE27" s="230">
        <f t="shared" si="5"/>
        <v>50</v>
      </c>
      <c r="AF27" s="230">
        <f t="shared" si="6"/>
        <v>10</v>
      </c>
      <c r="AG27" s="230">
        <f>IF(AND(SUM($AA$16:AA26)&gt;0,SUM($AG$16:AG26)&lt;$O$62,$W27&gt;=$O$65),$O$64,0)</f>
        <v>74.8125</v>
      </c>
      <c r="AH27" s="228">
        <f>IF(SUM($AA$17:$AA26)&gt;0,($O$62-SUM($AG$17:$AG26))*$E$65,0)</f>
        <v>17.954999999999998</v>
      </c>
      <c r="AI27" s="231">
        <f t="shared" si="29"/>
        <v>60</v>
      </c>
      <c r="AJ27" s="228">
        <f t="shared" si="7"/>
        <v>-60</v>
      </c>
      <c r="AK27" s="253">
        <f>(SUM($P$31,$P$51)-SUM($AU$17:AU26))*$O$109</f>
        <v>14.214917738464042</v>
      </c>
      <c r="AL27" s="255"/>
      <c r="AM27" s="229">
        <f t="shared" si="8"/>
        <v>-41.315765649687478</v>
      </c>
      <c r="AN27" s="164"/>
      <c r="AO27" s="227">
        <f t="shared" si="9"/>
        <v>0</v>
      </c>
      <c r="AP27" s="228">
        <f t="shared" si="10"/>
        <v>0</v>
      </c>
      <c r="AQ27" s="228">
        <f t="shared" si="11"/>
        <v>0</v>
      </c>
      <c r="AR27" s="230">
        <f t="shared" si="12"/>
        <v>0</v>
      </c>
      <c r="AS27" s="231">
        <f t="shared" si="30"/>
        <v>0</v>
      </c>
      <c r="AT27" s="230">
        <f t="shared" si="13"/>
        <v>0</v>
      </c>
      <c r="AU27" s="230">
        <f t="shared" si="14"/>
        <v>59.147071902893217</v>
      </c>
      <c r="AV27" s="230">
        <f t="shared" si="15"/>
        <v>38.723396597884793</v>
      </c>
      <c r="AW27" s="230">
        <f t="shared" si="31"/>
        <v>40</v>
      </c>
      <c r="AX27" s="230">
        <f t="shared" si="32"/>
        <v>6</v>
      </c>
      <c r="AY27" s="230">
        <f t="shared" si="16"/>
        <v>12.18</v>
      </c>
      <c r="AZ27" s="230">
        <f>IF(AND(SUM($AQ$16:AQ26)&gt;0,SUM($AZ$16:AZ26)&lt;$P$62,$W27&gt;=$P$65),$P$64,0)</f>
        <v>18</v>
      </c>
      <c r="BA27" s="230">
        <f>IF(SUM($AQ$17:$AQ26)&gt;0,($P$62-SUM($AZ$17:$AZ26))*$F$65,0)</f>
        <v>4.32</v>
      </c>
      <c r="BB27" s="231">
        <f t="shared" si="33"/>
        <v>156.05046850077801</v>
      </c>
      <c r="BC27" s="228">
        <f t="shared" si="34"/>
        <v>-156.05046850077801</v>
      </c>
      <c r="BD27" s="229">
        <f t="shared" si="17"/>
        <v>-107.45574310170136</v>
      </c>
      <c r="BE27" s="48"/>
      <c r="BF27" s="46">
        <f t="shared" si="35"/>
        <v>0.68859609416145795</v>
      </c>
      <c r="BH27" s="227">
        <f t="shared" si="36"/>
        <v>0</v>
      </c>
      <c r="BI27" s="227">
        <f t="shared" si="37"/>
        <v>59.147071902893217</v>
      </c>
      <c r="BJ27" s="228">
        <f t="shared" si="38"/>
        <v>38.723396597884793</v>
      </c>
      <c r="BK27" s="228">
        <f t="shared" si="39"/>
        <v>40</v>
      </c>
      <c r="BL27" s="228">
        <f t="shared" si="40"/>
        <v>12.18</v>
      </c>
      <c r="BM27" s="228">
        <f t="shared" si="18"/>
        <v>0</v>
      </c>
      <c r="BN27" s="229">
        <f t="shared" si="19"/>
        <v>150.05046850077801</v>
      </c>
      <c r="BO27" s="228">
        <f t="shared" si="20"/>
        <v>0</v>
      </c>
      <c r="BP27" s="228">
        <f t="shared" si="21"/>
        <v>40</v>
      </c>
      <c r="BQ27" s="228">
        <f t="shared" si="22"/>
        <v>28.132925953418539</v>
      </c>
      <c r="BR27" s="228">
        <f t="shared" si="23"/>
        <v>12</v>
      </c>
      <c r="BS27" s="228">
        <f t="shared" si="41"/>
        <v>0</v>
      </c>
      <c r="BT27" s="228">
        <f t="shared" si="24"/>
        <v>0.18</v>
      </c>
      <c r="BU27" s="229">
        <f t="shared" si="42"/>
        <v>52.18</v>
      </c>
      <c r="BV27" s="229">
        <f t="shared" si="25"/>
        <v>97.870468500778003</v>
      </c>
      <c r="BW27" s="166"/>
      <c r="BX27" s="158">
        <f t="shared" si="43"/>
        <v>61.252649075607351</v>
      </c>
      <c r="BY27" s="286">
        <f t="shared" si="44"/>
        <v>0</v>
      </c>
      <c r="CA27"/>
    </row>
    <row r="28" spans="1:79" ht="15.75" customHeight="1">
      <c r="B28" t="s">
        <v>123</v>
      </c>
      <c r="D28" t="s">
        <v>8</v>
      </c>
      <c r="F28" s="289">
        <f>SUM(F29:F30)</f>
        <v>3000</v>
      </c>
      <c r="J28" s="4" t="s">
        <v>194</v>
      </c>
      <c r="O28" t="s">
        <v>0</v>
      </c>
      <c r="P28" t="s">
        <v>1</v>
      </c>
      <c r="V28" s="58">
        <f t="shared" si="26"/>
        <v>49765</v>
      </c>
      <c r="W28" s="7">
        <v>12</v>
      </c>
      <c r="X28" s="282" t="str">
        <f t="shared" si="27"/>
        <v>維持管理・運営期間</v>
      </c>
      <c r="Y28" s="239">
        <f t="shared" si="0"/>
        <v>0</v>
      </c>
      <c r="Z28" s="230">
        <f t="shared" si="1"/>
        <v>0</v>
      </c>
      <c r="AA28" s="230">
        <f t="shared" si="2"/>
        <v>0</v>
      </c>
      <c r="AB28" s="230">
        <f t="shared" si="3"/>
        <v>0</v>
      </c>
      <c r="AC28" s="231">
        <f t="shared" si="28"/>
        <v>0</v>
      </c>
      <c r="AD28" s="239">
        <f t="shared" si="4"/>
        <v>0</v>
      </c>
      <c r="AE28" s="230">
        <f t="shared" si="5"/>
        <v>50</v>
      </c>
      <c r="AF28" s="230">
        <f t="shared" si="6"/>
        <v>10</v>
      </c>
      <c r="AG28" s="230">
        <f>IF(AND(SUM($AA$16:AA27)&gt;0,SUM($AG$16:AG27)&lt;$O$62,$W28&gt;=$O$65),$O$64,0)</f>
        <v>74.8125</v>
      </c>
      <c r="AH28" s="228">
        <f>IF(SUM($AA$17:$AA27)&gt;0,($O$62-SUM($AG$17:$AG27))*$E$65,0)</f>
        <v>16.832812499999999</v>
      </c>
      <c r="AI28" s="231">
        <f t="shared" si="29"/>
        <v>60</v>
      </c>
      <c r="AJ28" s="228">
        <f t="shared" si="7"/>
        <v>-60</v>
      </c>
      <c r="AK28" s="253">
        <f>(SUM($P$31,$P$51)-SUM($AU$17:AU27))*$O$109</f>
        <v>13.357285195872089</v>
      </c>
      <c r="AL28" s="255"/>
      <c r="AM28" s="229">
        <f t="shared" si="8"/>
        <v>-39.937907829567408</v>
      </c>
      <c r="AN28" s="164"/>
      <c r="AO28" s="227">
        <f t="shared" si="9"/>
        <v>0</v>
      </c>
      <c r="AP28" s="228">
        <f t="shared" si="10"/>
        <v>0</v>
      </c>
      <c r="AQ28" s="228">
        <f t="shared" si="11"/>
        <v>0</v>
      </c>
      <c r="AR28" s="230">
        <f t="shared" si="12"/>
        <v>0</v>
      </c>
      <c r="AS28" s="231">
        <f t="shared" si="30"/>
        <v>0</v>
      </c>
      <c r="AT28" s="230">
        <f t="shared" si="13"/>
        <v>0</v>
      </c>
      <c r="AU28" s="230">
        <f t="shared" si="14"/>
        <v>61.483381243057501</v>
      </c>
      <c r="AV28" s="230">
        <f t="shared" si="15"/>
        <v>36.387087257720509</v>
      </c>
      <c r="AW28" s="230">
        <f t="shared" si="31"/>
        <v>40</v>
      </c>
      <c r="AX28" s="230">
        <f t="shared" si="32"/>
        <v>6</v>
      </c>
      <c r="AY28" s="230">
        <f t="shared" si="16"/>
        <v>12.18</v>
      </c>
      <c r="AZ28" s="230">
        <f>IF(AND(SUM($AQ$16:AQ27)&gt;0,SUM($AZ$16:AZ27)&lt;$P$62,$W28&gt;=$P$65),$P$64,0)</f>
        <v>18</v>
      </c>
      <c r="BA28" s="230">
        <f>IF(SUM($AQ$17:$AQ27)&gt;0,($P$62-SUM($AZ$17:$AZ27))*$F$65,0)</f>
        <v>4.05</v>
      </c>
      <c r="BB28" s="231">
        <f t="shared" si="33"/>
        <v>156.05046850077801</v>
      </c>
      <c r="BC28" s="228">
        <f t="shared" si="34"/>
        <v>-156.05046850077801</v>
      </c>
      <c r="BD28" s="229">
        <f t="shared" si="17"/>
        <v>-103.87215379574806</v>
      </c>
      <c r="BE28" s="48"/>
      <c r="BF28" s="46">
        <f t="shared" si="35"/>
        <v>0.66563179715945675</v>
      </c>
      <c r="BH28" s="227">
        <f t="shared" si="36"/>
        <v>0</v>
      </c>
      <c r="BI28" s="227">
        <f t="shared" si="37"/>
        <v>61.483381243057501</v>
      </c>
      <c r="BJ28" s="228">
        <f t="shared" si="38"/>
        <v>36.387087257720509</v>
      </c>
      <c r="BK28" s="228">
        <f t="shared" si="39"/>
        <v>40</v>
      </c>
      <c r="BL28" s="228">
        <f t="shared" si="40"/>
        <v>12.18</v>
      </c>
      <c r="BM28" s="228">
        <f t="shared" si="18"/>
        <v>0</v>
      </c>
      <c r="BN28" s="229">
        <f t="shared" si="19"/>
        <v>150.05046850077801</v>
      </c>
      <c r="BO28" s="228">
        <f t="shared" si="20"/>
        <v>0</v>
      </c>
      <c r="BP28" s="228">
        <f t="shared" si="21"/>
        <v>40</v>
      </c>
      <c r="BQ28" s="228">
        <f t="shared" si="22"/>
        <v>26.325972805688124</v>
      </c>
      <c r="BR28" s="228">
        <f t="shared" si="23"/>
        <v>12</v>
      </c>
      <c r="BS28" s="228">
        <f t="shared" si="41"/>
        <v>0</v>
      </c>
      <c r="BT28" s="228">
        <f t="shared" si="24"/>
        <v>0.18</v>
      </c>
      <c r="BU28" s="229">
        <f t="shared" si="42"/>
        <v>52.18</v>
      </c>
      <c r="BV28" s="229">
        <f t="shared" si="25"/>
        <v>97.870468500778003</v>
      </c>
      <c r="BW28" s="166"/>
      <c r="BX28" s="158">
        <f t="shared" si="43"/>
        <v>63.059602223337762</v>
      </c>
      <c r="BY28" s="286">
        <f t="shared" si="44"/>
        <v>0</v>
      </c>
      <c r="CA28"/>
    </row>
    <row r="29" spans="1:79" ht="15.75" customHeight="1">
      <c r="C29" s="2" t="s">
        <v>72</v>
      </c>
      <c r="D29" t="s">
        <v>8</v>
      </c>
      <c r="F29" s="200">
        <f>事業費用概算!G6</f>
        <v>0</v>
      </c>
      <c r="K29" t="s">
        <v>29</v>
      </c>
      <c r="N29" s="19" t="s">
        <v>8</v>
      </c>
      <c r="O29" s="52">
        <f>F30*$F$50+F29</f>
        <v>2850</v>
      </c>
      <c r="P29" s="52">
        <f>F28*(1-F51)</f>
        <v>2400</v>
      </c>
      <c r="Q29" t="s">
        <v>59</v>
      </c>
      <c r="V29" s="58">
        <f t="shared" si="26"/>
        <v>50130</v>
      </c>
      <c r="W29" s="7">
        <v>13</v>
      </c>
      <c r="X29" s="282" t="str">
        <f t="shared" si="27"/>
        <v>維持管理・運営期間</v>
      </c>
      <c r="Y29" s="239">
        <f t="shared" si="0"/>
        <v>0</v>
      </c>
      <c r="Z29" s="230">
        <f t="shared" si="1"/>
        <v>0</v>
      </c>
      <c r="AA29" s="230">
        <f t="shared" si="2"/>
        <v>0</v>
      </c>
      <c r="AB29" s="230">
        <f t="shared" si="3"/>
        <v>0</v>
      </c>
      <c r="AC29" s="231">
        <f t="shared" si="28"/>
        <v>0</v>
      </c>
      <c r="AD29" s="239">
        <f t="shared" si="4"/>
        <v>0</v>
      </c>
      <c r="AE29" s="230">
        <f t="shared" si="5"/>
        <v>50</v>
      </c>
      <c r="AF29" s="230">
        <f t="shared" si="6"/>
        <v>10</v>
      </c>
      <c r="AG29" s="230">
        <f>IF(AND(SUM($AA$16:AA28)&gt;0,SUM($AG$16:AG28)&lt;$O$62,$W29&gt;=$O$65),$O$64,0)</f>
        <v>74.8125</v>
      </c>
      <c r="AH29" s="228">
        <f>IF(SUM($AA$17:$AA28)&gt;0,($O$62-SUM($AG$17:$AG28))*$E$65,0)</f>
        <v>15.710625</v>
      </c>
      <c r="AI29" s="231">
        <f t="shared" si="29"/>
        <v>60</v>
      </c>
      <c r="AJ29" s="228">
        <f t="shared" si="7"/>
        <v>-60</v>
      </c>
      <c r="AK29" s="253">
        <f>(SUM($P$31,$P$51)-SUM($AU$17:AU28))*$O$109</f>
        <v>12.465776167847755</v>
      </c>
      <c r="AL29" s="255"/>
      <c r="AM29" s="229">
        <f t="shared" si="8"/>
        <v>-38.6060008019018</v>
      </c>
      <c r="AN29" s="164"/>
      <c r="AO29" s="227">
        <f t="shared" si="9"/>
        <v>0</v>
      </c>
      <c r="AP29" s="228">
        <f t="shared" si="10"/>
        <v>0</v>
      </c>
      <c r="AQ29" s="228">
        <f t="shared" si="11"/>
        <v>0</v>
      </c>
      <c r="AR29" s="230">
        <f t="shared" si="12"/>
        <v>0</v>
      </c>
      <c r="AS29" s="231">
        <f t="shared" si="30"/>
        <v>0</v>
      </c>
      <c r="AT29" s="230">
        <f t="shared" si="13"/>
        <v>0</v>
      </c>
      <c r="AU29" s="230">
        <f t="shared" si="14"/>
        <v>63.911974802158277</v>
      </c>
      <c r="AV29" s="230">
        <f t="shared" si="15"/>
        <v>33.958493698619741</v>
      </c>
      <c r="AW29" s="230">
        <f t="shared" si="31"/>
        <v>40</v>
      </c>
      <c r="AX29" s="230">
        <f t="shared" si="32"/>
        <v>6</v>
      </c>
      <c r="AY29" s="230">
        <f t="shared" si="16"/>
        <v>12.18</v>
      </c>
      <c r="AZ29" s="230">
        <f>IF(AND(SUM($AQ$16:AQ28)&gt;0,SUM($AZ$16:AZ28)&lt;$P$62,$W29&gt;=$P$65),$P$64,0)</f>
        <v>18</v>
      </c>
      <c r="BA29" s="230">
        <f>IF(SUM($AQ$17:$AQ28)&gt;0,($P$62-SUM($AZ$17:$AZ28))*$F$65,0)</f>
        <v>3.78</v>
      </c>
      <c r="BB29" s="231">
        <f t="shared" si="33"/>
        <v>156.05046850077804</v>
      </c>
      <c r="BC29" s="228">
        <f t="shared" si="34"/>
        <v>-156.05046850077804</v>
      </c>
      <c r="BD29" s="229">
        <f t="shared" si="17"/>
        <v>-100.40807520130313</v>
      </c>
      <c r="BE29" s="48"/>
      <c r="BF29" s="46">
        <f t="shared" si="35"/>
        <v>0.64343334669836327</v>
      </c>
      <c r="BH29" s="227">
        <f t="shared" si="36"/>
        <v>0</v>
      </c>
      <c r="BI29" s="227">
        <f t="shared" si="37"/>
        <v>63.911974802158277</v>
      </c>
      <c r="BJ29" s="228">
        <f t="shared" si="38"/>
        <v>33.958493698619741</v>
      </c>
      <c r="BK29" s="228">
        <f t="shared" si="39"/>
        <v>40</v>
      </c>
      <c r="BL29" s="228">
        <f t="shared" si="40"/>
        <v>12.18</v>
      </c>
      <c r="BM29" s="228">
        <f t="shared" si="18"/>
        <v>0</v>
      </c>
      <c r="BN29" s="229">
        <f t="shared" si="19"/>
        <v>150.05046850077804</v>
      </c>
      <c r="BO29" s="228">
        <f t="shared" si="20"/>
        <v>0</v>
      </c>
      <c r="BP29" s="228">
        <f t="shared" si="21"/>
        <v>40</v>
      </c>
      <c r="BQ29" s="228">
        <f t="shared" si="22"/>
        <v>24.465714540099658</v>
      </c>
      <c r="BR29" s="228">
        <f t="shared" si="23"/>
        <v>12</v>
      </c>
      <c r="BS29" s="228">
        <f t="shared" si="41"/>
        <v>0</v>
      </c>
      <c r="BT29" s="228">
        <f t="shared" si="24"/>
        <v>0.18</v>
      </c>
      <c r="BU29" s="229">
        <f t="shared" si="42"/>
        <v>52.18</v>
      </c>
      <c r="BV29" s="229">
        <f t="shared" si="25"/>
        <v>97.870468500778031</v>
      </c>
      <c r="BW29" s="166"/>
      <c r="BX29" s="158">
        <f t="shared" si="43"/>
        <v>64.919860488926233</v>
      </c>
      <c r="BY29" s="286">
        <f t="shared" si="44"/>
        <v>0</v>
      </c>
      <c r="CA29"/>
    </row>
    <row r="30" spans="1:79" ht="15.75" customHeight="1">
      <c r="C30" s="2" t="s">
        <v>195</v>
      </c>
      <c r="D30" t="s">
        <v>8</v>
      </c>
      <c r="F30" s="200">
        <f>事業費用概算!G7</f>
        <v>3000</v>
      </c>
      <c r="M30" s="56" t="s">
        <v>43</v>
      </c>
      <c r="N30" s="19" t="s">
        <v>8</v>
      </c>
      <c r="O30" s="51">
        <f>O29*E32</f>
        <v>2850</v>
      </c>
      <c r="P30" s="51">
        <f>$P$29*F32</f>
        <v>1200</v>
      </c>
      <c r="V30" s="58">
        <f t="shared" si="26"/>
        <v>50495</v>
      </c>
      <c r="W30" s="7">
        <v>14</v>
      </c>
      <c r="X30" s="282" t="str">
        <f t="shared" si="27"/>
        <v>維持管理・運営期間</v>
      </c>
      <c r="Y30" s="239">
        <f t="shared" si="0"/>
        <v>0</v>
      </c>
      <c r="Z30" s="230">
        <f t="shared" si="1"/>
        <v>0</v>
      </c>
      <c r="AA30" s="230">
        <f t="shared" si="2"/>
        <v>0</v>
      </c>
      <c r="AB30" s="230">
        <f t="shared" si="3"/>
        <v>0</v>
      </c>
      <c r="AC30" s="231">
        <f t="shared" si="28"/>
        <v>0</v>
      </c>
      <c r="AD30" s="239">
        <f t="shared" si="4"/>
        <v>0</v>
      </c>
      <c r="AE30" s="230">
        <f t="shared" si="5"/>
        <v>50</v>
      </c>
      <c r="AF30" s="230">
        <f t="shared" si="6"/>
        <v>10</v>
      </c>
      <c r="AG30" s="230">
        <f>IF(AND(SUM($AA$16:AA29)&gt;0,SUM($AG$16:AG29)&lt;$O$62,$W30&gt;=$O$65),$O$64,0)</f>
        <v>74.8125</v>
      </c>
      <c r="AH30" s="228">
        <f>IF(SUM($AA$17:$AA29)&gt;0,($O$62-SUM($AG$17:$AG29))*$E$65,0)</f>
        <v>14.5884375</v>
      </c>
      <c r="AI30" s="231">
        <f t="shared" si="29"/>
        <v>60</v>
      </c>
      <c r="AJ30" s="228">
        <f t="shared" si="7"/>
        <v>-60</v>
      </c>
      <c r="AK30" s="253">
        <f>(SUM($P$31,$P$51)-SUM($AU$17:AU29))*$O$109</f>
        <v>11.539052533216459</v>
      </c>
      <c r="AL30" s="255"/>
      <c r="AM30" s="229">
        <f t="shared" si="8"/>
        <v>-37.318512133302846</v>
      </c>
      <c r="AN30" s="164"/>
      <c r="AO30" s="227">
        <f t="shared" si="9"/>
        <v>0</v>
      </c>
      <c r="AP30" s="228">
        <f t="shared" si="10"/>
        <v>0</v>
      </c>
      <c r="AQ30" s="228">
        <f t="shared" si="11"/>
        <v>0</v>
      </c>
      <c r="AR30" s="230">
        <f t="shared" si="12"/>
        <v>0</v>
      </c>
      <c r="AS30" s="231">
        <f t="shared" si="30"/>
        <v>0</v>
      </c>
      <c r="AT30" s="230">
        <f t="shared" si="13"/>
        <v>0</v>
      </c>
      <c r="AU30" s="230">
        <f t="shared" si="14"/>
        <v>66.436497806843519</v>
      </c>
      <c r="AV30" s="230">
        <f t="shared" si="15"/>
        <v>31.433970693934487</v>
      </c>
      <c r="AW30" s="230">
        <f t="shared" si="31"/>
        <v>40</v>
      </c>
      <c r="AX30" s="230">
        <f t="shared" si="32"/>
        <v>6</v>
      </c>
      <c r="AY30" s="230">
        <f t="shared" si="16"/>
        <v>12.18</v>
      </c>
      <c r="AZ30" s="230">
        <f>IF(AND(SUM($AQ$16:AQ29)&gt;0,SUM($AZ$16:AZ29)&lt;$P$62,$W30&gt;=$P$65),$P$64,0)</f>
        <v>18</v>
      </c>
      <c r="BA30" s="230">
        <f>IF(SUM($AQ$17:$AQ29)&gt;0,($P$62-SUM($AZ$17:$AZ29))*$F$65,0)</f>
        <v>3.51</v>
      </c>
      <c r="BB30" s="231">
        <f t="shared" si="33"/>
        <v>156.05046850077801</v>
      </c>
      <c r="BC30" s="228">
        <f t="shared" si="34"/>
        <v>-156.05046850077801</v>
      </c>
      <c r="BD30" s="229">
        <f t="shared" si="17"/>
        <v>-97.059521702564624</v>
      </c>
      <c r="BE30" s="48"/>
      <c r="BF30" s="46">
        <f t="shared" si="35"/>
        <v>0.6219752022217141</v>
      </c>
      <c r="BH30" s="227">
        <f t="shared" si="36"/>
        <v>0</v>
      </c>
      <c r="BI30" s="227">
        <f t="shared" si="37"/>
        <v>66.436497806843519</v>
      </c>
      <c r="BJ30" s="228">
        <f t="shared" si="38"/>
        <v>31.433970693934487</v>
      </c>
      <c r="BK30" s="228">
        <f t="shared" si="39"/>
        <v>40</v>
      </c>
      <c r="BL30" s="228">
        <f t="shared" si="40"/>
        <v>12.18</v>
      </c>
      <c r="BM30" s="228">
        <f t="shared" si="18"/>
        <v>0</v>
      </c>
      <c r="BN30" s="229">
        <f t="shared" si="19"/>
        <v>150.05046850077801</v>
      </c>
      <c r="BO30" s="228">
        <f t="shared" si="20"/>
        <v>0</v>
      </c>
      <c r="BP30" s="228">
        <f t="shared" si="21"/>
        <v>40</v>
      </c>
      <c r="BQ30" s="228">
        <f t="shared" si="22"/>
        <v>22.550578655676336</v>
      </c>
      <c r="BR30" s="228">
        <f t="shared" si="23"/>
        <v>12</v>
      </c>
      <c r="BS30" s="228">
        <f t="shared" si="41"/>
        <v>0</v>
      </c>
      <c r="BT30" s="228">
        <f t="shared" si="24"/>
        <v>0.18</v>
      </c>
      <c r="BU30" s="229">
        <f t="shared" si="42"/>
        <v>52.18</v>
      </c>
      <c r="BV30" s="229">
        <f t="shared" si="25"/>
        <v>97.870468500778003</v>
      </c>
      <c r="BW30" s="166"/>
      <c r="BX30" s="158">
        <f t="shared" si="43"/>
        <v>66.834996373349554</v>
      </c>
      <c r="BY30" s="286">
        <f t="shared" si="44"/>
        <v>0</v>
      </c>
      <c r="CA30"/>
    </row>
    <row r="31" spans="1:79" ht="15.75" customHeight="1">
      <c r="C31" t="s">
        <v>121</v>
      </c>
      <c r="E31" s="19" t="s">
        <v>0</v>
      </c>
      <c r="F31" s="19" t="s">
        <v>1</v>
      </c>
      <c r="M31" s="56" t="s">
        <v>25</v>
      </c>
      <c r="N31" s="19" t="s">
        <v>8</v>
      </c>
      <c r="O31" s="51">
        <f>O30*E33</f>
        <v>0</v>
      </c>
      <c r="P31" s="51">
        <f>$P$29*F33</f>
        <v>1200</v>
      </c>
      <c r="V31" s="58">
        <f t="shared" si="26"/>
        <v>50860</v>
      </c>
      <c r="W31" s="7">
        <v>15</v>
      </c>
      <c r="X31" s="282" t="str">
        <f t="shared" si="27"/>
        <v>維持管理・運営期間</v>
      </c>
      <c r="Y31" s="239">
        <f t="shared" si="0"/>
        <v>0</v>
      </c>
      <c r="Z31" s="230">
        <f t="shared" si="1"/>
        <v>0</v>
      </c>
      <c r="AA31" s="230">
        <f t="shared" si="2"/>
        <v>0</v>
      </c>
      <c r="AB31" s="230">
        <f t="shared" si="3"/>
        <v>0</v>
      </c>
      <c r="AC31" s="231">
        <f t="shared" si="28"/>
        <v>0</v>
      </c>
      <c r="AD31" s="239">
        <f t="shared" si="4"/>
        <v>0</v>
      </c>
      <c r="AE31" s="230">
        <f t="shared" si="5"/>
        <v>50</v>
      </c>
      <c r="AF31" s="230">
        <f t="shared" si="6"/>
        <v>10</v>
      </c>
      <c r="AG31" s="230">
        <f>IF(AND(SUM($AA$16:AA30)&gt;0,SUM($AG$16:AG30)&lt;$O$62,$W31&gt;=$O$65),$O$64,0)</f>
        <v>74.8125</v>
      </c>
      <c r="AH31" s="228">
        <f>IF(SUM($AA$17:$AA30)&gt;0,($O$62-SUM($AG$17:$AG30))*$E$65,0)</f>
        <v>13.466249999999999</v>
      </c>
      <c r="AI31" s="231">
        <f t="shared" si="29"/>
        <v>60</v>
      </c>
      <c r="AJ31" s="228">
        <f t="shared" si="7"/>
        <v>-60</v>
      </c>
      <c r="AK31" s="253">
        <f>(SUM($P$31,$P$51)-SUM($AU$17:AU30))*$O$109</f>
        <v>10.575723315017228</v>
      </c>
      <c r="AL31" s="255"/>
      <c r="AM31" s="229">
        <f t="shared" si="8"/>
        <v>-36.073960496184483</v>
      </c>
      <c r="AN31" s="164"/>
      <c r="AO31" s="227">
        <f t="shared" si="9"/>
        <v>0</v>
      </c>
      <c r="AP31" s="228">
        <f t="shared" si="10"/>
        <v>0</v>
      </c>
      <c r="AQ31" s="228">
        <f t="shared" si="11"/>
        <v>0</v>
      </c>
      <c r="AR31" s="230">
        <f t="shared" si="12"/>
        <v>0</v>
      </c>
      <c r="AS31" s="231">
        <f t="shared" si="30"/>
        <v>0</v>
      </c>
      <c r="AT31" s="230">
        <f t="shared" si="13"/>
        <v>0</v>
      </c>
      <c r="AU31" s="230">
        <f t="shared" si="14"/>
        <v>69.060739470213846</v>
      </c>
      <c r="AV31" s="230">
        <f t="shared" si="15"/>
        <v>28.809729030564171</v>
      </c>
      <c r="AW31" s="230">
        <f t="shared" si="31"/>
        <v>40</v>
      </c>
      <c r="AX31" s="230">
        <f t="shared" si="32"/>
        <v>6</v>
      </c>
      <c r="AY31" s="230">
        <f t="shared" si="16"/>
        <v>12.18</v>
      </c>
      <c r="AZ31" s="230">
        <f>IF(AND(SUM($AQ$16:AQ30)&gt;0,SUM($AZ$16:AZ30)&lt;$P$62,$W31&gt;=$P$65),$P$64,0)</f>
        <v>18</v>
      </c>
      <c r="BA31" s="230">
        <f>IF(SUM($AQ$17:$AQ30)&gt;0,($P$62-SUM($AZ$17:$AZ30))*$F$65,0)</f>
        <v>3.2399999999999998</v>
      </c>
      <c r="BB31" s="231">
        <f t="shared" si="33"/>
        <v>156.05046850077804</v>
      </c>
      <c r="BC31" s="228">
        <f t="shared" si="34"/>
        <v>-156.05046850077804</v>
      </c>
      <c r="BD31" s="229">
        <f t="shared" si="17"/>
        <v>-93.822640601802476</v>
      </c>
      <c r="BE31" s="48"/>
      <c r="BF31" s="46">
        <f t="shared" si="35"/>
        <v>0.60123267493640808</v>
      </c>
      <c r="BH31" s="227">
        <f t="shared" si="36"/>
        <v>0</v>
      </c>
      <c r="BI31" s="227">
        <f t="shared" si="37"/>
        <v>69.060739470213846</v>
      </c>
      <c r="BJ31" s="228">
        <f t="shared" si="38"/>
        <v>28.809729030564171</v>
      </c>
      <c r="BK31" s="228">
        <f t="shared" si="39"/>
        <v>40</v>
      </c>
      <c r="BL31" s="228">
        <f t="shared" si="40"/>
        <v>12.18</v>
      </c>
      <c r="BM31" s="228">
        <f t="shared" si="18"/>
        <v>0</v>
      </c>
      <c r="BN31" s="229">
        <f t="shared" si="19"/>
        <v>150.05046850077804</v>
      </c>
      <c r="BO31" s="228">
        <f t="shared" si="20"/>
        <v>0</v>
      </c>
      <c r="BP31" s="228">
        <f t="shared" si="21"/>
        <v>40</v>
      </c>
      <c r="BQ31" s="228">
        <f t="shared" si="22"/>
        <v>20.578946262662523</v>
      </c>
      <c r="BR31" s="228">
        <f t="shared" si="23"/>
        <v>12</v>
      </c>
      <c r="BS31" s="228">
        <f t="shared" si="41"/>
        <v>0</v>
      </c>
      <c r="BT31" s="228">
        <f t="shared" si="24"/>
        <v>0.18</v>
      </c>
      <c r="BU31" s="229">
        <f t="shared" si="42"/>
        <v>52.18</v>
      </c>
      <c r="BV31" s="229">
        <f t="shared" si="25"/>
        <v>97.870468500778031</v>
      </c>
      <c r="BW31" s="166"/>
      <c r="BX31" s="158">
        <f t="shared" si="43"/>
        <v>68.806628766363374</v>
      </c>
      <c r="BY31" s="286">
        <f t="shared" si="44"/>
        <v>0</v>
      </c>
      <c r="CA31"/>
    </row>
    <row r="32" spans="1:79" ht="15.75" customHeight="1">
      <c r="C32" s="2" t="s">
        <v>43</v>
      </c>
      <c r="D32" t="s">
        <v>6</v>
      </c>
      <c r="E32" s="268">
        <v>1</v>
      </c>
      <c r="F32" s="3">
        <v>0.5</v>
      </c>
      <c r="M32" s="56" t="s">
        <v>57</v>
      </c>
      <c r="N32" s="19" t="s">
        <v>8</v>
      </c>
      <c r="O32" s="51">
        <f>SUM(O30:O31)</f>
        <v>2850</v>
      </c>
      <c r="P32" s="51">
        <f>SUM(P30:P31)</f>
        <v>2400</v>
      </c>
      <c r="V32" s="58">
        <f t="shared" si="26"/>
        <v>51226</v>
      </c>
      <c r="W32" s="7">
        <v>16</v>
      </c>
      <c r="X32" s="282" t="str">
        <f t="shared" si="27"/>
        <v>維持管理・運営期間</v>
      </c>
      <c r="Y32" s="239">
        <f t="shared" si="0"/>
        <v>0</v>
      </c>
      <c r="Z32" s="230">
        <f t="shared" si="1"/>
        <v>0</v>
      </c>
      <c r="AA32" s="230">
        <f t="shared" si="2"/>
        <v>0</v>
      </c>
      <c r="AB32" s="230">
        <f t="shared" si="3"/>
        <v>0</v>
      </c>
      <c r="AC32" s="231">
        <f t="shared" si="28"/>
        <v>0</v>
      </c>
      <c r="AD32" s="239">
        <f t="shared" si="4"/>
        <v>0</v>
      </c>
      <c r="AE32" s="230">
        <f t="shared" si="5"/>
        <v>50</v>
      </c>
      <c r="AF32" s="230">
        <f t="shared" si="6"/>
        <v>10</v>
      </c>
      <c r="AG32" s="230">
        <f>IF(AND(SUM($AA$16:AA31)&gt;0,SUM($AG$16:AG31)&lt;$O$62,$W32&gt;=$O$65),$O$64,0)</f>
        <v>74.8125</v>
      </c>
      <c r="AH32" s="228">
        <f>IF(SUM($AA$17:$AA31)&gt;0,($O$62-SUM($AG$17:$AG31))*$E$65,0)</f>
        <v>12.3440625</v>
      </c>
      <c r="AI32" s="231">
        <f t="shared" si="29"/>
        <v>60</v>
      </c>
      <c r="AJ32" s="228">
        <f t="shared" si="7"/>
        <v>-60</v>
      </c>
      <c r="AK32" s="253">
        <f>(SUM($P$31,$P$51)-SUM($AU$17:AU31))*$O$109</f>
        <v>9.5743425926991286</v>
      </c>
      <c r="AL32" s="255"/>
      <c r="AM32" s="229">
        <f t="shared" si="8"/>
        <v>-34.87091396441226</v>
      </c>
      <c r="AN32" s="164"/>
      <c r="AO32" s="227">
        <f t="shared" si="9"/>
        <v>0</v>
      </c>
      <c r="AP32" s="228">
        <f t="shared" si="10"/>
        <v>0</v>
      </c>
      <c r="AQ32" s="228">
        <f t="shared" si="11"/>
        <v>0</v>
      </c>
      <c r="AR32" s="230">
        <f t="shared" si="12"/>
        <v>0</v>
      </c>
      <c r="AS32" s="231">
        <f t="shared" si="30"/>
        <v>0</v>
      </c>
      <c r="AT32" s="230">
        <f t="shared" si="13"/>
        <v>0</v>
      </c>
      <c r="AU32" s="230">
        <f t="shared" si="14"/>
        <v>71.788638679287288</v>
      </c>
      <c r="AV32" s="230">
        <f t="shared" si="15"/>
        <v>26.081829821490725</v>
      </c>
      <c r="AW32" s="230">
        <f t="shared" si="31"/>
        <v>40</v>
      </c>
      <c r="AX32" s="230">
        <f t="shared" si="32"/>
        <v>6</v>
      </c>
      <c r="AY32" s="230">
        <f t="shared" si="16"/>
        <v>12.18</v>
      </c>
      <c r="AZ32" s="230">
        <f>IF(AND(SUM($AQ$16:AQ31)&gt;0,SUM($AZ$16:AZ31)&lt;$P$62,$W32&gt;=$P$65),$P$64,0)</f>
        <v>18</v>
      </c>
      <c r="BA32" s="230">
        <f>IF(SUM($AQ$17:$AQ31)&gt;0,($P$62-SUM($AZ$17:$AZ31))*$F$65,0)</f>
        <v>2.9699999999999998</v>
      </c>
      <c r="BB32" s="231">
        <f t="shared" si="33"/>
        <v>156.05046850077804</v>
      </c>
      <c r="BC32" s="228">
        <f t="shared" si="34"/>
        <v>-156.05046850077804</v>
      </c>
      <c r="BD32" s="229">
        <f t="shared" si="17"/>
        <v>-90.693707686614275</v>
      </c>
      <c r="BE32" s="48"/>
      <c r="BF32" s="46">
        <f t="shared" si="35"/>
        <v>0.58118189940687104</v>
      </c>
      <c r="BH32" s="227">
        <f t="shared" si="36"/>
        <v>0</v>
      </c>
      <c r="BI32" s="227">
        <f t="shared" si="37"/>
        <v>71.788638679287288</v>
      </c>
      <c r="BJ32" s="228">
        <f t="shared" si="38"/>
        <v>26.081829821490725</v>
      </c>
      <c r="BK32" s="228">
        <f t="shared" si="39"/>
        <v>40</v>
      </c>
      <c r="BL32" s="228">
        <f t="shared" si="40"/>
        <v>12.18</v>
      </c>
      <c r="BM32" s="228">
        <f t="shared" si="18"/>
        <v>0</v>
      </c>
      <c r="BN32" s="229">
        <f t="shared" si="19"/>
        <v>150.05046850077804</v>
      </c>
      <c r="BO32" s="228">
        <f t="shared" si="20"/>
        <v>0</v>
      </c>
      <c r="BP32" s="228">
        <f t="shared" si="21"/>
        <v>40</v>
      </c>
      <c r="BQ32" s="228">
        <f t="shared" si="22"/>
        <v>18.5491507140548</v>
      </c>
      <c r="BR32" s="228">
        <f t="shared" si="23"/>
        <v>12</v>
      </c>
      <c r="BS32" s="228">
        <f t="shared" si="41"/>
        <v>0</v>
      </c>
      <c r="BT32" s="228">
        <f t="shared" si="24"/>
        <v>0.18</v>
      </c>
      <c r="BU32" s="229">
        <f t="shared" si="42"/>
        <v>52.18</v>
      </c>
      <c r="BV32" s="229">
        <f t="shared" si="25"/>
        <v>97.870468500778031</v>
      </c>
      <c r="BW32" s="166"/>
      <c r="BX32" s="158">
        <f t="shared" si="43"/>
        <v>70.836424314971097</v>
      </c>
      <c r="BY32" s="286">
        <f t="shared" si="44"/>
        <v>0</v>
      </c>
      <c r="CA32"/>
    </row>
    <row r="33" spans="2:79" ht="15.75" customHeight="1">
      <c r="C33" s="2" t="s">
        <v>25</v>
      </c>
      <c r="D33" t="s">
        <v>6</v>
      </c>
      <c r="E33" s="139"/>
      <c r="F33" s="3">
        <v>0.5</v>
      </c>
      <c r="V33" s="58">
        <f t="shared" si="26"/>
        <v>51591</v>
      </c>
      <c r="W33" s="7">
        <v>17</v>
      </c>
      <c r="X33" s="282" t="str">
        <f t="shared" si="27"/>
        <v>維持管理・運営期間</v>
      </c>
      <c r="Y33" s="239">
        <f t="shared" si="0"/>
        <v>0</v>
      </c>
      <c r="Z33" s="230">
        <f t="shared" si="1"/>
        <v>0</v>
      </c>
      <c r="AA33" s="230">
        <f t="shared" si="2"/>
        <v>0</v>
      </c>
      <c r="AB33" s="230">
        <f t="shared" si="3"/>
        <v>0</v>
      </c>
      <c r="AC33" s="231">
        <f t="shared" si="28"/>
        <v>0</v>
      </c>
      <c r="AD33" s="239">
        <f t="shared" si="4"/>
        <v>0</v>
      </c>
      <c r="AE33" s="230">
        <f t="shared" si="5"/>
        <v>50</v>
      </c>
      <c r="AF33" s="230">
        <f t="shared" si="6"/>
        <v>10</v>
      </c>
      <c r="AG33" s="230">
        <f>IF(AND(SUM($AA$16:AA32)&gt;0,SUM($AG$16:AG32)&lt;$O$62,$W33&gt;=$O$65),$O$64,0)</f>
        <v>74.8125</v>
      </c>
      <c r="AH33" s="228">
        <f>IF(SUM($AA$17:$AA32)&gt;0,($O$62-SUM($AG$17:$AG32))*$E$65,0)</f>
        <v>11.221874999999999</v>
      </c>
      <c r="AI33" s="231">
        <f t="shared" si="29"/>
        <v>60</v>
      </c>
      <c r="AJ33" s="228">
        <f t="shared" si="7"/>
        <v>-60</v>
      </c>
      <c r="AK33" s="253">
        <f>(SUM($P$31,$P$51)-SUM($AU$17:AU32))*$O$109</f>
        <v>8.5334073318494621</v>
      </c>
      <c r="AL33" s="255"/>
      <c r="AM33" s="229">
        <f t="shared" si="8"/>
        <v>-33.707988365792424</v>
      </c>
      <c r="AN33" s="164"/>
      <c r="AO33" s="227">
        <f t="shared" si="9"/>
        <v>0</v>
      </c>
      <c r="AP33" s="228">
        <f t="shared" si="10"/>
        <v>0</v>
      </c>
      <c r="AQ33" s="228">
        <f t="shared" si="11"/>
        <v>0</v>
      </c>
      <c r="AR33" s="230">
        <f t="shared" si="12"/>
        <v>0</v>
      </c>
      <c r="AS33" s="231">
        <f t="shared" si="30"/>
        <v>0</v>
      </c>
      <c r="AT33" s="230">
        <f t="shared" si="13"/>
        <v>0</v>
      </c>
      <c r="AU33" s="230">
        <f t="shared" si="14"/>
        <v>74.624289907119149</v>
      </c>
      <c r="AV33" s="230">
        <f t="shared" si="15"/>
        <v>23.246178593658868</v>
      </c>
      <c r="AW33" s="230">
        <f t="shared" si="31"/>
        <v>40</v>
      </c>
      <c r="AX33" s="230">
        <f t="shared" si="32"/>
        <v>6</v>
      </c>
      <c r="AY33" s="230">
        <f t="shared" si="16"/>
        <v>12.18</v>
      </c>
      <c r="AZ33" s="230">
        <f>IF(AND(SUM($AQ$16:AQ32)&gt;0,SUM($AZ$16:AZ32)&lt;$P$62,$W33&gt;=$P$65),$P$64,0)</f>
        <v>18</v>
      </c>
      <c r="BA33" s="230">
        <f>IF(SUM($AQ$17:$AQ32)&gt;0,($P$62-SUM($AZ$17:$AZ32))*$F$65,0)</f>
        <v>2.6999999999999997</v>
      </c>
      <c r="BB33" s="231">
        <f t="shared" si="33"/>
        <v>156.05046850077804</v>
      </c>
      <c r="BC33" s="228">
        <f t="shared" si="34"/>
        <v>-156.05046850077804</v>
      </c>
      <c r="BD33" s="229">
        <f t="shared" si="17"/>
        <v>-87.669122945011395</v>
      </c>
      <c r="BE33" s="48"/>
      <c r="BF33" s="46">
        <f t="shared" si="35"/>
        <v>0.56179980609654045</v>
      </c>
      <c r="BH33" s="227">
        <f t="shared" si="36"/>
        <v>0</v>
      </c>
      <c r="BI33" s="227">
        <f t="shared" si="37"/>
        <v>74.624289907119149</v>
      </c>
      <c r="BJ33" s="228">
        <f t="shared" si="38"/>
        <v>23.246178593658868</v>
      </c>
      <c r="BK33" s="228">
        <f t="shared" si="39"/>
        <v>40</v>
      </c>
      <c r="BL33" s="228">
        <f t="shared" si="40"/>
        <v>12.18</v>
      </c>
      <c r="BM33" s="228">
        <f t="shared" si="18"/>
        <v>0</v>
      </c>
      <c r="BN33" s="229">
        <f t="shared" si="19"/>
        <v>150.05046850077804</v>
      </c>
      <c r="BO33" s="228">
        <f t="shared" si="20"/>
        <v>0</v>
      </c>
      <c r="BP33" s="228">
        <f t="shared" si="21"/>
        <v>40</v>
      </c>
      <c r="BQ33" s="228">
        <f t="shared" si="22"/>
        <v>16.459476196763159</v>
      </c>
      <c r="BR33" s="228">
        <f t="shared" si="23"/>
        <v>12</v>
      </c>
      <c r="BS33" s="228">
        <f t="shared" si="41"/>
        <v>0</v>
      </c>
      <c r="BT33" s="228">
        <f t="shared" si="24"/>
        <v>0.18</v>
      </c>
      <c r="BU33" s="229">
        <f t="shared" si="42"/>
        <v>52.18</v>
      </c>
      <c r="BV33" s="229">
        <f t="shared" si="25"/>
        <v>97.870468500778031</v>
      </c>
      <c r="BW33" s="166"/>
      <c r="BX33" s="158">
        <f t="shared" si="43"/>
        <v>72.926098832262738</v>
      </c>
      <c r="BY33" s="286">
        <f t="shared" si="44"/>
        <v>0</v>
      </c>
      <c r="CA33"/>
    </row>
    <row r="34" spans="2:79" ht="15.75" customHeight="1">
      <c r="E34" s="13">
        <f>SUM(E32:E33)</f>
        <v>1</v>
      </c>
      <c r="F34" s="13">
        <f>SUM(F32:F33)</f>
        <v>1</v>
      </c>
      <c r="V34" s="58">
        <f t="shared" si="26"/>
        <v>51956</v>
      </c>
      <c r="W34" s="7">
        <v>18</v>
      </c>
      <c r="X34" s="282" t="str">
        <f t="shared" si="27"/>
        <v>維持管理・運営期間</v>
      </c>
      <c r="Y34" s="239">
        <f t="shared" si="0"/>
        <v>0</v>
      </c>
      <c r="Z34" s="230">
        <f t="shared" si="1"/>
        <v>0</v>
      </c>
      <c r="AA34" s="230">
        <f t="shared" si="2"/>
        <v>0</v>
      </c>
      <c r="AB34" s="230">
        <f t="shared" si="3"/>
        <v>0</v>
      </c>
      <c r="AC34" s="231">
        <f t="shared" si="28"/>
        <v>0</v>
      </c>
      <c r="AD34" s="239">
        <f t="shared" si="4"/>
        <v>0</v>
      </c>
      <c r="AE34" s="230">
        <f t="shared" si="5"/>
        <v>50</v>
      </c>
      <c r="AF34" s="230">
        <f t="shared" si="6"/>
        <v>10</v>
      </c>
      <c r="AG34" s="230">
        <f>IF(AND(SUM($AA$16:AA33)&gt;0,SUM($AG$16:AG33)&lt;$O$62,$W34&gt;=$O$65),$O$64,0)</f>
        <v>74.8125</v>
      </c>
      <c r="AH34" s="228">
        <f>IF(SUM($AA$17:$AA33)&gt;0,($O$62-SUM($AG$17:$AG33))*$E$65,0)</f>
        <v>10.0996875</v>
      </c>
      <c r="AI34" s="231">
        <f t="shared" si="29"/>
        <v>60</v>
      </c>
      <c r="AJ34" s="228">
        <f t="shared" si="7"/>
        <v>-60</v>
      </c>
      <c r="AK34" s="253">
        <f>(SUM($P$31,$P$51)-SUM($AU$17:AU33))*$O$109</f>
        <v>7.4513551281962345</v>
      </c>
      <c r="AL34" s="255"/>
      <c r="AM34" s="229">
        <f t="shared" si="8"/>
        <v>-32.583845689504521</v>
      </c>
      <c r="AN34" s="164"/>
      <c r="AO34" s="227">
        <f t="shared" si="9"/>
        <v>0</v>
      </c>
      <c r="AP34" s="228">
        <f t="shared" si="10"/>
        <v>0</v>
      </c>
      <c r="AQ34" s="228">
        <f t="shared" si="11"/>
        <v>0</v>
      </c>
      <c r="AR34" s="230">
        <f t="shared" si="12"/>
        <v>0</v>
      </c>
      <c r="AS34" s="231">
        <f t="shared" si="30"/>
        <v>0</v>
      </c>
      <c r="AT34" s="230">
        <f t="shared" si="13"/>
        <v>0</v>
      </c>
      <c r="AU34" s="230">
        <f t="shared" si="14"/>
        <v>77.57194935845034</v>
      </c>
      <c r="AV34" s="230">
        <f t="shared" si="15"/>
        <v>20.298519142327667</v>
      </c>
      <c r="AW34" s="230">
        <f t="shared" si="31"/>
        <v>40</v>
      </c>
      <c r="AX34" s="230">
        <f t="shared" si="32"/>
        <v>6</v>
      </c>
      <c r="AY34" s="230">
        <f t="shared" si="16"/>
        <v>12.18</v>
      </c>
      <c r="AZ34" s="230">
        <f>IF(AND(SUM($AQ$16:AQ33)&gt;0,SUM($AZ$16:AZ33)&lt;$P$62,$W34&gt;=$P$65),$P$64,0)</f>
        <v>18</v>
      </c>
      <c r="BA34" s="230">
        <f>IF(SUM($AQ$17:$AQ33)&gt;0,($P$62-SUM($AZ$17:$AZ33))*$F$65,0)</f>
        <v>2.4299999999999997</v>
      </c>
      <c r="BB34" s="231">
        <f t="shared" si="33"/>
        <v>156.05046850077801</v>
      </c>
      <c r="BC34" s="228">
        <f t="shared" si="34"/>
        <v>-156.05046850077801</v>
      </c>
      <c r="BD34" s="229">
        <f t="shared" si="17"/>
        <v>-84.745406423403935</v>
      </c>
      <c r="BE34" s="48"/>
      <c r="BF34" s="46">
        <f t="shared" si="35"/>
        <v>0.54306409482507534</v>
      </c>
      <c r="BH34" s="227">
        <f t="shared" si="36"/>
        <v>0</v>
      </c>
      <c r="BI34" s="227">
        <f t="shared" si="37"/>
        <v>77.57194935845034</v>
      </c>
      <c r="BJ34" s="228">
        <f t="shared" si="38"/>
        <v>20.298519142327667</v>
      </c>
      <c r="BK34" s="228">
        <f t="shared" si="39"/>
        <v>40</v>
      </c>
      <c r="BL34" s="228">
        <f t="shared" si="40"/>
        <v>12.18</v>
      </c>
      <c r="BM34" s="228">
        <f t="shared" si="18"/>
        <v>0</v>
      </c>
      <c r="BN34" s="229">
        <f t="shared" si="19"/>
        <v>150.05046850077801</v>
      </c>
      <c r="BO34" s="228">
        <f t="shared" si="20"/>
        <v>0</v>
      </c>
      <c r="BP34" s="228">
        <f t="shared" si="21"/>
        <v>40</v>
      </c>
      <c r="BQ34" s="228">
        <f t="shared" si="22"/>
        <v>14.308156281211406</v>
      </c>
      <c r="BR34" s="228">
        <f t="shared" si="23"/>
        <v>12</v>
      </c>
      <c r="BS34" s="228">
        <f t="shared" si="41"/>
        <v>0</v>
      </c>
      <c r="BT34" s="228">
        <f t="shared" si="24"/>
        <v>0.18</v>
      </c>
      <c r="BU34" s="229">
        <f t="shared" si="42"/>
        <v>52.18</v>
      </c>
      <c r="BV34" s="229">
        <f t="shared" si="25"/>
        <v>97.870468500778003</v>
      </c>
      <c r="BW34" s="166"/>
      <c r="BX34" s="158">
        <f t="shared" si="43"/>
        <v>75.077418747814477</v>
      </c>
      <c r="BY34" s="286">
        <f t="shared" si="44"/>
        <v>0</v>
      </c>
      <c r="CA34"/>
    </row>
    <row r="35" spans="2:79" ht="15.75" customHeight="1">
      <c r="B35" s="56" t="s">
        <v>182</v>
      </c>
      <c r="C35" s="2" t="s">
        <v>10</v>
      </c>
      <c r="D35" t="s">
        <v>6</v>
      </c>
      <c r="F35" s="15">
        <v>1.4500000000000001E-2</v>
      </c>
      <c r="J35" s="102" t="s">
        <v>193</v>
      </c>
      <c r="O35" t="s">
        <v>0</v>
      </c>
      <c r="P35" t="s">
        <v>1</v>
      </c>
      <c r="V35" s="58">
        <f t="shared" si="26"/>
        <v>52321</v>
      </c>
      <c r="W35" s="7">
        <v>19</v>
      </c>
      <c r="X35" s="282" t="str">
        <f t="shared" si="27"/>
        <v>維持管理・運営期間</v>
      </c>
      <c r="Y35" s="239">
        <f t="shared" si="0"/>
        <v>0</v>
      </c>
      <c r="Z35" s="230">
        <f t="shared" si="1"/>
        <v>0</v>
      </c>
      <c r="AA35" s="230">
        <f t="shared" si="2"/>
        <v>0</v>
      </c>
      <c r="AB35" s="230">
        <f t="shared" si="3"/>
        <v>0</v>
      </c>
      <c r="AC35" s="231">
        <f t="shared" si="28"/>
        <v>0</v>
      </c>
      <c r="AD35" s="239">
        <f t="shared" si="4"/>
        <v>0</v>
      </c>
      <c r="AE35" s="230">
        <f t="shared" si="5"/>
        <v>50</v>
      </c>
      <c r="AF35" s="230">
        <f t="shared" si="6"/>
        <v>10</v>
      </c>
      <c r="AG35" s="230">
        <f>IF(AND(SUM($AA$16:AA34)&gt;0,SUM($AG$16:AG34)&lt;$O$62,$W35&gt;=$O$65),$O$64,0)</f>
        <v>74.8125</v>
      </c>
      <c r="AH35" s="228">
        <f>IF(SUM($AA$17:$AA34)&gt;0,($O$62-SUM($AG$17:$AG34))*$E$65,0)</f>
        <v>8.9774999999999991</v>
      </c>
      <c r="AI35" s="231">
        <f t="shared" si="29"/>
        <v>60</v>
      </c>
      <c r="AJ35" s="228">
        <f t="shared" si="7"/>
        <v>-60</v>
      </c>
      <c r="AK35" s="253">
        <f>(SUM($P$31,$P$51)-SUM($AU$17:AU34))*$O$109</f>
        <v>6.3265618624987052</v>
      </c>
      <c r="AL35" s="255"/>
      <c r="AM35" s="229">
        <f t="shared" si="8"/>
        <v>-31.497192546645262</v>
      </c>
      <c r="AN35" s="164"/>
      <c r="AO35" s="227">
        <f t="shared" si="9"/>
        <v>0</v>
      </c>
      <c r="AP35" s="228">
        <f t="shared" si="10"/>
        <v>0</v>
      </c>
      <c r="AQ35" s="228">
        <f t="shared" si="11"/>
        <v>0</v>
      </c>
      <c r="AR35" s="230">
        <f t="shared" si="12"/>
        <v>0</v>
      </c>
      <c r="AS35" s="231">
        <f t="shared" si="30"/>
        <v>0</v>
      </c>
      <c r="AT35" s="230">
        <f t="shared" si="13"/>
        <v>0</v>
      </c>
      <c r="AU35" s="230">
        <f t="shared" si="14"/>
        <v>80.636041358109139</v>
      </c>
      <c r="AV35" s="230">
        <f t="shared" si="15"/>
        <v>17.234427142668878</v>
      </c>
      <c r="AW35" s="230">
        <f t="shared" si="31"/>
        <v>40</v>
      </c>
      <c r="AX35" s="230">
        <f t="shared" si="32"/>
        <v>6</v>
      </c>
      <c r="AY35" s="230">
        <f t="shared" si="16"/>
        <v>12.18</v>
      </c>
      <c r="AZ35" s="230">
        <f>IF(AND(SUM($AQ$16:AQ34)&gt;0,SUM($AZ$16:AZ34)&lt;$P$62,$W35&gt;=$P$65),$P$64,0)</f>
        <v>18</v>
      </c>
      <c r="BA35" s="230">
        <f>IF(SUM($AQ$17:$AQ34)&gt;0,($P$62-SUM($AZ$17:$AZ34))*$F$65,0)</f>
        <v>2.16</v>
      </c>
      <c r="BB35" s="231">
        <f t="shared" si="33"/>
        <v>156.05046850077804</v>
      </c>
      <c r="BC35" s="228">
        <f t="shared" si="34"/>
        <v>-156.05046850077804</v>
      </c>
      <c r="BD35" s="229">
        <f t="shared" si="17"/>
        <v>-81.919194222720122</v>
      </c>
      <c r="BE35" s="48"/>
      <c r="BF35" s="46">
        <f t="shared" si="35"/>
        <v>0.52495320911075438</v>
      </c>
      <c r="BH35" s="227">
        <f t="shared" si="36"/>
        <v>0</v>
      </c>
      <c r="BI35" s="227">
        <f t="shared" si="37"/>
        <v>80.636041358109139</v>
      </c>
      <c r="BJ35" s="228">
        <f t="shared" si="38"/>
        <v>17.234427142668878</v>
      </c>
      <c r="BK35" s="228">
        <f t="shared" si="39"/>
        <v>40</v>
      </c>
      <c r="BL35" s="228">
        <f t="shared" si="40"/>
        <v>12.18</v>
      </c>
      <c r="BM35" s="228">
        <f t="shared" si="18"/>
        <v>0</v>
      </c>
      <c r="BN35" s="229">
        <f t="shared" si="19"/>
        <v>150.05046850077804</v>
      </c>
      <c r="BO35" s="228">
        <f t="shared" si="20"/>
        <v>0</v>
      </c>
      <c r="BP35" s="228">
        <f t="shared" si="21"/>
        <v>40</v>
      </c>
      <c r="BQ35" s="228">
        <f t="shared" si="22"/>
        <v>12.093372428150881</v>
      </c>
      <c r="BR35" s="228">
        <f t="shared" si="23"/>
        <v>12</v>
      </c>
      <c r="BS35" s="228">
        <f t="shared" si="41"/>
        <v>0</v>
      </c>
      <c r="BT35" s="228">
        <f t="shared" si="24"/>
        <v>0.18</v>
      </c>
      <c r="BU35" s="229">
        <f t="shared" si="42"/>
        <v>52.18</v>
      </c>
      <c r="BV35" s="229">
        <f t="shared" si="25"/>
        <v>97.870468500778031</v>
      </c>
      <c r="BW35" s="166"/>
      <c r="BX35" s="158">
        <f t="shared" si="43"/>
        <v>77.292202600875015</v>
      </c>
      <c r="BY35" s="286">
        <f t="shared" si="44"/>
        <v>0</v>
      </c>
      <c r="CA35"/>
    </row>
    <row r="36" spans="2:79" ht="15.75" customHeight="1">
      <c r="C36" s="2" t="s">
        <v>181</v>
      </c>
      <c r="D36" t="s">
        <v>6</v>
      </c>
      <c r="F36" s="140">
        <f>F70</f>
        <v>1.4999999999999999E-2</v>
      </c>
      <c r="J36" s="4"/>
      <c r="K36" s="56" t="s">
        <v>58</v>
      </c>
      <c r="N36" s="19" t="s">
        <v>6</v>
      </c>
      <c r="O36" s="53"/>
      <c r="P36" s="36">
        <f>SUM(F35:F37)</f>
        <v>3.95E-2</v>
      </c>
      <c r="V36" s="58">
        <f t="shared" si="26"/>
        <v>52687</v>
      </c>
      <c r="W36" s="7">
        <v>20</v>
      </c>
      <c r="X36" s="282" t="str">
        <f t="shared" si="27"/>
        <v>維持管理・運営期間</v>
      </c>
      <c r="Y36" s="239">
        <f t="shared" si="0"/>
        <v>0</v>
      </c>
      <c r="Z36" s="230">
        <f t="shared" si="1"/>
        <v>0</v>
      </c>
      <c r="AA36" s="230">
        <f t="shared" si="2"/>
        <v>0</v>
      </c>
      <c r="AB36" s="230">
        <f t="shared" si="3"/>
        <v>0</v>
      </c>
      <c r="AC36" s="231">
        <f t="shared" si="28"/>
        <v>0</v>
      </c>
      <c r="AD36" s="239">
        <f t="shared" si="4"/>
        <v>0</v>
      </c>
      <c r="AE36" s="230">
        <f t="shared" si="5"/>
        <v>50</v>
      </c>
      <c r="AF36" s="230">
        <f t="shared" si="6"/>
        <v>10</v>
      </c>
      <c r="AG36" s="230">
        <f>IF(AND(SUM($AA$16:AA35)&gt;0,SUM($AG$16:AG35)&lt;$O$62,$W36&gt;=$O$65),$O$64,0)</f>
        <v>74.8125</v>
      </c>
      <c r="AH36" s="228">
        <f>IF(SUM($AA$17:$AA35)&gt;0,($O$62-SUM($AG$17:$AG35))*$E$65,0)</f>
        <v>7.8553125000000001</v>
      </c>
      <c r="AI36" s="231">
        <f t="shared" si="29"/>
        <v>60</v>
      </c>
      <c r="AJ36" s="228">
        <f t="shared" si="7"/>
        <v>-60</v>
      </c>
      <c r="AK36" s="253">
        <f>(SUM($P$31,$P$51)-SUM($AU$17:AU35))*$O$109</f>
        <v>5.1573392628061221</v>
      </c>
      <c r="AL36" s="255"/>
      <c r="AM36" s="229">
        <f t="shared" si="8"/>
        <v>-30.446778682112388</v>
      </c>
      <c r="AN36" s="164"/>
      <c r="AO36" s="227">
        <f t="shared" si="9"/>
        <v>0</v>
      </c>
      <c r="AP36" s="228">
        <f t="shared" si="10"/>
        <v>0</v>
      </c>
      <c r="AQ36" s="228">
        <f t="shared" si="11"/>
        <v>0</v>
      </c>
      <c r="AR36" s="230">
        <f t="shared" si="12"/>
        <v>0</v>
      </c>
      <c r="AS36" s="231">
        <f t="shared" si="30"/>
        <v>0</v>
      </c>
      <c r="AT36" s="230">
        <f t="shared" si="13"/>
        <v>0</v>
      </c>
      <c r="AU36" s="230">
        <f t="shared" si="14"/>
        <v>83.821164991754443</v>
      </c>
      <c r="AV36" s="230">
        <f t="shared" si="15"/>
        <v>14.049303509023568</v>
      </c>
      <c r="AW36" s="230">
        <f t="shared" si="31"/>
        <v>40</v>
      </c>
      <c r="AX36" s="230">
        <f t="shared" si="32"/>
        <v>6</v>
      </c>
      <c r="AY36" s="230">
        <f t="shared" si="16"/>
        <v>12.18</v>
      </c>
      <c r="AZ36" s="230">
        <f>IF(AND(SUM($AQ$16:AQ35)&gt;0,SUM($AZ$16:AZ35)&lt;$P$62,$W36&gt;=$P$65),$P$64,0)</f>
        <v>18</v>
      </c>
      <c r="BA36" s="230">
        <f>IF(SUM($AQ$17:$AQ35)&gt;0,($P$62-SUM($AZ$17:$AZ35))*$F$65,0)</f>
        <v>1.89</v>
      </c>
      <c r="BB36" s="231">
        <f t="shared" si="33"/>
        <v>156.05046850077804</v>
      </c>
      <c r="BC36" s="228">
        <f t="shared" si="34"/>
        <v>-156.05046850077804</v>
      </c>
      <c r="BD36" s="229">
        <f t="shared" si="17"/>
        <v>-79.187234628052323</v>
      </c>
      <c r="BE36" s="48"/>
      <c r="BF36" s="46">
        <f t="shared" si="35"/>
        <v>0.50744631136853979</v>
      </c>
      <c r="BH36" s="227">
        <f t="shared" si="36"/>
        <v>0</v>
      </c>
      <c r="BI36" s="227">
        <f t="shared" si="37"/>
        <v>83.821164991754443</v>
      </c>
      <c r="BJ36" s="228">
        <f t="shared" si="38"/>
        <v>14.049303509023568</v>
      </c>
      <c r="BK36" s="228">
        <f t="shared" si="39"/>
        <v>40</v>
      </c>
      <c r="BL36" s="228">
        <f t="shared" si="40"/>
        <v>12.18</v>
      </c>
      <c r="BM36" s="228">
        <f t="shared" si="18"/>
        <v>0</v>
      </c>
      <c r="BN36" s="229">
        <f t="shared" si="19"/>
        <v>150.05046850077804</v>
      </c>
      <c r="BO36" s="228">
        <f t="shared" si="20"/>
        <v>0</v>
      </c>
      <c r="BP36" s="228">
        <f t="shared" si="21"/>
        <v>40</v>
      </c>
      <c r="BQ36" s="228">
        <f t="shared" si="22"/>
        <v>9.8132524514250647</v>
      </c>
      <c r="BR36" s="228">
        <f t="shared" si="23"/>
        <v>12</v>
      </c>
      <c r="BS36" s="228">
        <f t="shared" si="41"/>
        <v>0</v>
      </c>
      <c r="BT36" s="228">
        <f t="shared" si="24"/>
        <v>0.18</v>
      </c>
      <c r="BU36" s="229">
        <f t="shared" si="42"/>
        <v>52.18</v>
      </c>
      <c r="BV36" s="229">
        <f t="shared" si="25"/>
        <v>97.870468500778031</v>
      </c>
      <c r="BW36" s="166"/>
      <c r="BX36" s="158">
        <f t="shared" si="43"/>
        <v>79.572322577600829</v>
      </c>
      <c r="BY36" s="286">
        <f t="shared" si="44"/>
        <v>0</v>
      </c>
      <c r="CA36"/>
    </row>
    <row r="37" spans="2:79" ht="15.75" customHeight="1">
      <c r="C37" s="2" t="s">
        <v>11</v>
      </c>
      <c r="D37" t="s">
        <v>6</v>
      </c>
      <c r="F37" s="108">
        <v>0.01</v>
      </c>
      <c r="V37" s="58">
        <f t="shared" si="26"/>
        <v>53052</v>
      </c>
      <c r="W37" s="7">
        <v>21</v>
      </c>
      <c r="X37" s="282" t="str">
        <f t="shared" si="27"/>
        <v>維持管理・運営期間</v>
      </c>
      <c r="Y37" s="239">
        <f t="shared" si="0"/>
        <v>0</v>
      </c>
      <c r="Z37" s="230">
        <f t="shared" si="1"/>
        <v>0</v>
      </c>
      <c r="AA37" s="230">
        <f t="shared" si="2"/>
        <v>0</v>
      </c>
      <c r="AB37" s="230">
        <f t="shared" si="3"/>
        <v>0</v>
      </c>
      <c r="AC37" s="231">
        <f t="shared" si="28"/>
        <v>0</v>
      </c>
      <c r="AD37" s="239">
        <f t="shared" si="4"/>
        <v>0</v>
      </c>
      <c r="AE37" s="230">
        <f t="shared" si="5"/>
        <v>50</v>
      </c>
      <c r="AF37" s="230">
        <f t="shared" si="6"/>
        <v>10</v>
      </c>
      <c r="AG37" s="230">
        <f>IF(AND(SUM($AA$16:AA36)&gt;0,SUM($AG$16:AG36)&lt;$O$62,$W37&gt;=$O$65),$O$64,0)</f>
        <v>74.8125</v>
      </c>
      <c r="AH37" s="228">
        <f>IF(SUM($AA$17:$AA36)&gt;0,($O$62-SUM($AG$17:$AG36))*$E$65,0)</f>
        <v>6.7331249999999994</v>
      </c>
      <c r="AI37" s="231">
        <f t="shared" si="29"/>
        <v>60</v>
      </c>
      <c r="AJ37" s="228">
        <f t="shared" si="7"/>
        <v>-60</v>
      </c>
      <c r="AK37" s="253">
        <f>(SUM($P$31,$P$51)-SUM($AU$17:AU36))*$O$109</f>
        <v>3.9419323704256839</v>
      </c>
      <c r="AL37" s="255"/>
      <c r="AM37" s="229">
        <f t="shared" si="8"/>
        <v>-29.431395536116373</v>
      </c>
      <c r="AN37" s="164"/>
      <c r="AO37" s="227">
        <f t="shared" si="9"/>
        <v>0</v>
      </c>
      <c r="AP37" s="228">
        <f t="shared" si="10"/>
        <v>0</v>
      </c>
      <c r="AQ37" s="228">
        <f t="shared" si="11"/>
        <v>0</v>
      </c>
      <c r="AR37" s="230">
        <f t="shared" si="12"/>
        <v>0</v>
      </c>
      <c r="AS37" s="231">
        <f t="shared" si="30"/>
        <v>0</v>
      </c>
      <c r="AT37" s="230">
        <f t="shared" si="13"/>
        <v>0</v>
      </c>
      <c r="AU37" s="230">
        <f t="shared" si="14"/>
        <v>87.132101008928743</v>
      </c>
      <c r="AV37" s="230">
        <f t="shared" si="15"/>
        <v>10.738367491849266</v>
      </c>
      <c r="AW37" s="230">
        <f t="shared" si="31"/>
        <v>40</v>
      </c>
      <c r="AX37" s="230">
        <f t="shared" si="32"/>
        <v>6</v>
      </c>
      <c r="AY37" s="230">
        <f t="shared" si="16"/>
        <v>12.18</v>
      </c>
      <c r="AZ37" s="230">
        <f>IF(AND(SUM($AQ$16:AQ36)&gt;0,SUM($AZ$16:AZ36)&lt;$P$62,$W37&gt;=$P$65),$P$64,0)</f>
        <v>18</v>
      </c>
      <c r="BA37" s="230">
        <f>IF(SUM($AQ$17:$AQ36)&gt;0,($P$62-SUM($AZ$17:$AZ36))*$F$65,0)</f>
        <v>1.6199999999999999</v>
      </c>
      <c r="BB37" s="231">
        <f t="shared" si="33"/>
        <v>156.05046850077801</v>
      </c>
      <c r="BC37" s="228">
        <f t="shared" si="34"/>
        <v>-156.05046850077801</v>
      </c>
      <c r="BD37" s="229">
        <f t="shared" si="17"/>
        <v>-76.546384367377769</v>
      </c>
      <c r="BE37" s="48"/>
      <c r="BF37" s="46">
        <f t="shared" si="35"/>
        <v>0.49052325893527288</v>
      </c>
      <c r="BH37" s="227">
        <f t="shared" si="36"/>
        <v>0</v>
      </c>
      <c r="BI37" s="227">
        <f t="shared" si="37"/>
        <v>87.132101008928743</v>
      </c>
      <c r="BJ37" s="228">
        <f t="shared" si="38"/>
        <v>10.738367491849266</v>
      </c>
      <c r="BK37" s="228">
        <f t="shared" si="39"/>
        <v>40</v>
      </c>
      <c r="BL37" s="228">
        <f t="shared" si="40"/>
        <v>12.18</v>
      </c>
      <c r="BM37" s="228">
        <f t="shared" si="18"/>
        <v>0</v>
      </c>
      <c r="BN37" s="229">
        <f t="shared" si="19"/>
        <v>150.05046850077801</v>
      </c>
      <c r="BO37" s="228">
        <f t="shared" si="20"/>
        <v>0</v>
      </c>
      <c r="BP37" s="228">
        <f t="shared" si="21"/>
        <v>40</v>
      </c>
      <c r="BQ37" s="228">
        <f t="shared" si="22"/>
        <v>7.4658689353858403</v>
      </c>
      <c r="BR37" s="228">
        <f t="shared" si="23"/>
        <v>12</v>
      </c>
      <c r="BS37" s="228">
        <f t="shared" si="41"/>
        <v>0</v>
      </c>
      <c r="BT37" s="228">
        <f t="shared" si="24"/>
        <v>0.18</v>
      </c>
      <c r="BU37" s="229">
        <f t="shared" si="42"/>
        <v>52.18</v>
      </c>
      <c r="BV37" s="229">
        <f t="shared" si="25"/>
        <v>97.870468500778003</v>
      </c>
      <c r="BW37" s="166"/>
      <c r="BX37" s="158">
        <f t="shared" si="43"/>
        <v>81.919706093640045</v>
      </c>
      <c r="BY37" s="286">
        <f t="shared" si="44"/>
        <v>0</v>
      </c>
      <c r="CA37"/>
    </row>
    <row r="38" spans="2:79" ht="15.75" customHeight="1">
      <c r="C38" s="99"/>
      <c r="D38" s="101" t="s">
        <v>103</v>
      </c>
      <c r="E38" s="100"/>
      <c r="F38" s="98">
        <f>BY15</f>
        <v>0</v>
      </c>
      <c r="V38" s="58">
        <f t="shared" si="26"/>
        <v>53417</v>
      </c>
      <c r="W38" s="7">
        <v>22</v>
      </c>
      <c r="X38" s="282" t="str">
        <f t="shared" si="27"/>
        <v>維持管理・運営期間</v>
      </c>
      <c r="Y38" s="239">
        <f t="shared" si="0"/>
        <v>0</v>
      </c>
      <c r="Z38" s="230">
        <f t="shared" si="1"/>
        <v>0</v>
      </c>
      <c r="AA38" s="230">
        <f t="shared" si="2"/>
        <v>0</v>
      </c>
      <c r="AB38" s="230">
        <f t="shared" si="3"/>
        <v>0</v>
      </c>
      <c r="AC38" s="231">
        <f t="shared" si="28"/>
        <v>0</v>
      </c>
      <c r="AD38" s="239">
        <f t="shared" si="4"/>
        <v>0</v>
      </c>
      <c r="AE38" s="230">
        <f t="shared" si="5"/>
        <v>50</v>
      </c>
      <c r="AF38" s="230">
        <f t="shared" si="6"/>
        <v>10</v>
      </c>
      <c r="AG38" s="230">
        <f>IF(AND(SUM($AA$16:AA37)&gt;0,SUM($AG$16:AG37)&lt;$O$62,$W38&gt;=$O$65),$O$64,0)</f>
        <v>74.8125</v>
      </c>
      <c r="AH38" s="228">
        <f>IF(SUM($AA$17:$AA37)&gt;0,($O$62-SUM($AG$17:$AG37))*$E$65,0)</f>
        <v>5.6109374999999995</v>
      </c>
      <c r="AI38" s="231">
        <f t="shared" si="29"/>
        <v>60</v>
      </c>
      <c r="AJ38" s="228">
        <f t="shared" si="7"/>
        <v>-60</v>
      </c>
      <c r="AK38" s="253">
        <f>(SUM($P$31,$P$51)-SUM($AU$17:AU37))*$O$109</f>
        <v>2.6785169057962186</v>
      </c>
      <c r="AL38" s="255"/>
      <c r="AM38" s="229">
        <f t="shared" si="8"/>
        <v>-28.449874853664934</v>
      </c>
      <c r="AN38" s="164"/>
      <c r="AO38" s="227">
        <f t="shared" si="9"/>
        <v>0</v>
      </c>
      <c r="AP38" s="228">
        <f t="shared" si="10"/>
        <v>0</v>
      </c>
      <c r="AQ38" s="228">
        <f t="shared" si="11"/>
        <v>0</v>
      </c>
      <c r="AR38" s="230">
        <f t="shared" si="12"/>
        <v>0</v>
      </c>
      <c r="AS38" s="231">
        <f t="shared" si="30"/>
        <v>0</v>
      </c>
      <c r="AT38" s="230">
        <f t="shared" si="13"/>
        <v>0</v>
      </c>
      <c r="AU38" s="230">
        <f t="shared" si="14"/>
        <v>90.57381899878142</v>
      </c>
      <c r="AV38" s="230">
        <f t="shared" si="15"/>
        <v>7.2966495019965816</v>
      </c>
      <c r="AW38" s="230">
        <f t="shared" si="31"/>
        <v>40</v>
      </c>
      <c r="AX38" s="230">
        <f t="shared" si="32"/>
        <v>6</v>
      </c>
      <c r="AY38" s="230">
        <f t="shared" si="16"/>
        <v>12.18</v>
      </c>
      <c r="AZ38" s="230">
        <f>IF(AND(SUM($AQ$16:AQ37)&gt;0,SUM($AZ$16:AZ37)&lt;$P$62,$W38&gt;=$P$65),$P$64,0)</f>
        <v>18</v>
      </c>
      <c r="BA38" s="230">
        <f>IF(SUM($AQ$17:$AQ37)&gt;0,($P$62-SUM($AZ$17:$AZ37))*$F$65,0)</f>
        <v>1.3499999999999999</v>
      </c>
      <c r="BB38" s="231">
        <f t="shared" si="33"/>
        <v>156.05046850077801</v>
      </c>
      <c r="BC38" s="228">
        <f t="shared" si="34"/>
        <v>-156.05046850077801</v>
      </c>
      <c r="BD38" s="229">
        <f t="shared" si="17"/>
        <v>-73.993604995048599</v>
      </c>
      <c r="BE38" s="48"/>
      <c r="BF38" s="46">
        <f t="shared" si="35"/>
        <v>0.47416458089441554</v>
      </c>
      <c r="BH38" s="227">
        <f t="shared" si="36"/>
        <v>0</v>
      </c>
      <c r="BI38" s="227">
        <f t="shared" si="37"/>
        <v>90.57381899878142</v>
      </c>
      <c r="BJ38" s="228">
        <f t="shared" si="38"/>
        <v>7.2966495019965816</v>
      </c>
      <c r="BK38" s="228">
        <f t="shared" si="39"/>
        <v>40</v>
      </c>
      <c r="BL38" s="228">
        <f t="shared" si="40"/>
        <v>12.18</v>
      </c>
      <c r="BM38" s="228">
        <f t="shared" si="18"/>
        <v>0</v>
      </c>
      <c r="BN38" s="229">
        <f t="shared" si="19"/>
        <v>150.05046850077801</v>
      </c>
      <c r="BO38" s="228">
        <f t="shared" si="20"/>
        <v>0</v>
      </c>
      <c r="BP38" s="228">
        <f t="shared" si="21"/>
        <v>40</v>
      </c>
      <c r="BQ38" s="228">
        <f t="shared" si="22"/>
        <v>5.0492376056234587</v>
      </c>
      <c r="BR38" s="228">
        <f t="shared" si="23"/>
        <v>12</v>
      </c>
      <c r="BS38" s="228">
        <f t="shared" si="41"/>
        <v>0</v>
      </c>
      <c r="BT38" s="228">
        <f t="shared" si="24"/>
        <v>0.18</v>
      </c>
      <c r="BU38" s="229">
        <f t="shared" si="42"/>
        <v>52.18</v>
      </c>
      <c r="BV38" s="229">
        <f t="shared" si="25"/>
        <v>97.870468500778003</v>
      </c>
      <c r="BW38" s="166"/>
      <c r="BX38" s="158">
        <f t="shared" si="43"/>
        <v>84.336337423402426</v>
      </c>
      <c r="BY38" s="286">
        <f t="shared" si="44"/>
        <v>0</v>
      </c>
      <c r="CA38"/>
    </row>
    <row r="39" spans="2:79" ht="15.75" customHeight="1">
      <c r="V39" s="58">
        <f t="shared" si="26"/>
        <v>53782</v>
      </c>
      <c r="W39" s="7">
        <v>23</v>
      </c>
      <c r="X39" s="282" t="str">
        <f t="shared" si="27"/>
        <v>維持管理・運営期間</v>
      </c>
      <c r="Y39" s="239">
        <f t="shared" si="0"/>
        <v>0</v>
      </c>
      <c r="Z39" s="230">
        <f t="shared" si="1"/>
        <v>0</v>
      </c>
      <c r="AA39" s="230">
        <f t="shared" si="2"/>
        <v>0</v>
      </c>
      <c r="AB39" s="230">
        <f t="shared" si="3"/>
        <v>0</v>
      </c>
      <c r="AC39" s="231">
        <f t="shared" si="28"/>
        <v>0</v>
      </c>
      <c r="AD39" s="239">
        <f t="shared" si="4"/>
        <v>0</v>
      </c>
      <c r="AE39" s="230">
        <f t="shared" si="5"/>
        <v>50</v>
      </c>
      <c r="AF39" s="230">
        <f t="shared" si="6"/>
        <v>10</v>
      </c>
      <c r="AG39" s="230">
        <f>IF(AND(SUM($AA$16:AA38)&gt;0,SUM($AG$16:AG38)&lt;$O$62,$W39&gt;=$O$65),$O$64,0)</f>
        <v>74.8125</v>
      </c>
      <c r="AH39" s="228">
        <f>IF(SUM($AA$17:$AA38)&gt;0,($O$62-SUM($AG$17:$AG38))*$E$65,0)</f>
        <v>4.4887499999999996</v>
      </c>
      <c r="AI39" s="231">
        <f t="shared" si="29"/>
        <v>60</v>
      </c>
      <c r="AJ39" s="228">
        <f t="shared" si="7"/>
        <v>-60</v>
      </c>
      <c r="AK39" s="253">
        <f>(SUM($P$31,$P$51)-SUM($AU$17:AU38))*$O$109</f>
        <v>1.3651965303138873</v>
      </c>
      <c r="AL39" s="255"/>
      <c r="AM39" s="229">
        <f t="shared" si="8"/>
        <v>-27.50108734042043</v>
      </c>
      <c r="AN39" s="164"/>
      <c r="AO39" s="227">
        <f t="shared" si="9"/>
        <v>0</v>
      </c>
      <c r="AP39" s="228">
        <f t="shared" si="10"/>
        <v>0</v>
      </c>
      <c r="AQ39" s="228">
        <f t="shared" si="11"/>
        <v>0</v>
      </c>
      <c r="AR39" s="230">
        <f t="shared" si="12"/>
        <v>0</v>
      </c>
      <c r="AS39" s="231">
        <f t="shared" si="30"/>
        <v>0</v>
      </c>
      <c r="AT39" s="230">
        <f t="shared" si="13"/>
        <v>0</v>
      </c>
      <c r="AU39" s="230">
        <f t="shared" si="14"/>
        <v>94.151484849233299</v>
      </c>
      <c r="AV39" s="230">
        <f t="shared" si="15"/>
        <v>3.7189836515447152</v>
      </c>
      <c r="AW39" s="230">
        <f t="shared" si="31"/>
        <v>40</v>
      </c>
      <c r="AX39" s="230">
        <f t="shared" si="32"/>
        <v>6</v>
      </c>
      <c r="AY39" s="230">
        <f t="shared" si="16"/>
        <v>12.18</v>
      </c>
      <c r="AZ39" s="230">
        <f>IF(AND(SUM($AQ$16:AQ38)&gt;0,SUM($AZ$16:AZ38)&lt;$P$62,$W39&gt;=$P$65),$P$64,0)</f>
        <v>18</v>
      </c>
      <c r="BA39" s="230">
        <f>IF(SUM($AQ$17:$AQ38)&gt;0,($P$62-SUM($AZ$17:$AZ38))*$F$65,0)</f>
        <v>1.08</v>
      </c>
      <c r="BB39" s="231">
        <f t="shared" si="33"/>
        <v>156.05046850077804</v>
      </c>
      <c r="BC39" s="228">
        <f t="shared" si="34"/>
        <v>-156.05046850077804</v>
      </c>
      <c r="BD39" s="229">
        <f t="shared" si="17"/>
        <v>-71.525959395890396</v>
      </c>
      <c r="BE39" s="48"/>
      <c r="BF39" s="46">
        <f t="shared" si="35"/>
        <v>0.4583514556736738</v>
      </c>
      <c r="BH39" s="227">
        <f t="shared" si="36"/>
        <v>0</v>
      </c>
      <c r="BI39" s="227">
        <f t="shared" si="37"/>
        <v>94.151484849233299</v>
      </c>
      <c r="BJ39" s="228">
        <f t="shared" si="38"/>
        <v>3.7189836515447152</v>
      </c>
      <c r="BK39" s="228">
        <f t="shared" si="39"/>
        <v>40</v>
      </c>
      <c r="BL39" s="228">
        <f t="shared" si="40"/>
        <v>12.18</v>
      </c>
      <c r="BM39" s="228">
        <f t="shared" si="18"/>
        <v>0</v>
      </c>
      <c r="BN39" s="229">
        <f t="shared" si="19"/>
        <v>150.05046850077804</v>
      </c>
      <c r="BO39" s="228">
        <f t="shared" si="20"/>
        <v>0</v>
      </c>
      <c r="BP39" s="228">
        <f t="shared" si="21"/>
        <v>40</v>
      </c>
      <c r="BQ39" s="228">
        <f t="shared" si="22"/>
        <v>2.5613156516330875</v>
      </c>
      <c r="BR39" s="228">
        <f t="shared" si="23"/>
        <v>12</v>
      </c>
      <c r="BS39" s="228">
        <f t="shared" si="41"/>
        <v>0</v>
      </c>
      <c r="BT39" s="228">
        <f t="shared" si="24"/>
        <v>0</v>
      </c>
      <c r="BU39" s="229">
        <f t="shared" si="42"/>
        <v>52</v>
      </c>
      <c r="BV39" s="229">
        <f t="shared" si="25"/>
        <v>98.050468500778038</v>
      </c>
      <c r="BW39" s="166"/>
      <c r="BX39" s="158">
        <f t="shared" si="43"/>
        <v>86.824259377392792</v>
      </c>
      <c r="BY39" s="286">
        <f t="shared" si="44"/>
        <v>0</v>
      </c>
      <c r="CA39"/>
    </row>
    <row r="40" spans="2:79" ht="15.75" customHeight="1">
      <c r="B40" t="s">
        <v>183</v>
      </c>
      <c r="D40" t="s">
        <v>8</v>
      </c>
      <c r="F40" s="289">
        <f>SUM(F41:F42)</f>
        <v>50</v>
      </c>
      <c r="J40" s="4" t="s">
        <v>192</v>
      </c>
      <c r="O40" t="s">
        <v>0</v>
      </c>
      <c r="P40" t="s">
        <v>1</v>
      </c>
      <c r="V40" s="58">
        <f t="shared" si="26"/>
        <v>54148</v>
      </c>
      <c r="W40" s="26">
        <v>24</v>
      </c>
      <c r="X40" s="282" t="str">
        <f t="shared" si="27"/>
        <v>-</v>
      </c>
      <c r="Y40" s="239">
        <f t="shared" si="0"/>
        <v>0</v>
      </c>
      <c r="Z40" s="230">
        <f t="shared" si="1"/>
        <v>0</v>
      </c>
      <c r="AA40" s="230">
        <f t="shared" si="2"/>
        <v>0</v>
      </c>
      <c r="AB40" s="230">
        <f t="shared" si="3"/>
        <v>0</v>
      </c>
      <c r="AC40" s="231">
        <f t="shared" si="28"/>
        <v>0</v>
      </c>
      <c r="AD40" s="239">
        <f t="shared" si="4"/>
        <v>0</v>
      </c>
      <c r="AE40" s="230">
        <f t="shared" si="5"/>
        <v>0</v>
      </c>
      <c r="AF40" s="230">
        <f t="shared" si="6"/>
        <v>0</v>
      </c>
      <c r="AG40" s="230">
        <f>IF(AND(SUM($AA$16:AA39)&gt;0,SUM($AG$16:AG39)&lt;$O$62,$W40&gt;=$O$65),$O$64,0)</f>
        <v>74.8125</v>
      </c>
      <c r="AH40" s="228">
        <f>IF(SUM($AA$17:$AA39)&gt;0,($O$62-SUM($AG$17:$AG39))*$E$65,0)</f>
        <v>3.3665624999999997</v>
      </c>
      <c r="AI40" s="231">
        <f t="shared" si="29"/>
        <v>0</v>
      </c>
      <c r="AJ40" s="228">
        <f t="shared" si="7"/>
        <v>0</v>
      </c>
      <c r="AK40" s="253">
        <f>(SUM($P$31,$P$51)-SUM($AU$17:AU39))*$O$109</f>
        <v>3.2969182939268646E-15</v>
      </c>
      <c r="AL40" s="255"/>
      <c r="AM40" s="229">
        <f t="shared" si="8"/>
        <v>0</v>
      </c>
      <c r="AN40" s="164"/>
      <c r="AO40" s="227">
        <f t="shared" si="9"/>
        <v>0</v>
      </c>
      <c r="AP40" s="228">
        <f t="shared" si="10"/>
        <v>0</v>
      </c>
      <c r="AQ40" s="228">
        <f t="shared" si="11"/>
        <v>0</v>
      </c>
      <c r="AR40" s="230">
        <f t="shared" si="12"/>
        <v>0</v>
      </c>
      <c r="AS40" s="231">
        <f t="shared" si="30"/>
        <v>0</v>
      </c>
      <c r="AT40" s="230">
        <f t="shared" si="13"/>
        <v>0</v>
      </c>
      <c r="AU40" s="230">
        <f t="shared" si="14"/>
        <v>0</v>
      </c>
      <c r="AV40" s="230">
        <f t="shared" si="15"/>
        <v>0</v>
      </c>
      <c r="AW40" s="230">
        <f t="shared" si="31"/>
        <v>0</v>
      </c>
      <c r="AX40" s="230">
        <f t="shared" si="32"/>
        <v>0</v>
      </c>
      <c r="AY40" s="230">
        <f t="shared" si="16"/>
        <v>0</v>
      </c>
      <c r="AZ40" s="230">
        <f>IF(AND(SUM($AQ$16:AQ39)&gt;0,SUM($AZ$16:AZ39)&lt;$P$62,$W40&gt;=$P$65),$P$64,0)</f>
        <v>18</v>
      </c>
      <c r="BA40" s="230">
        <f>IF(SUM($AQ$17:$AQ39)&gt;0,($P$62-SUM($AZ$17:$AZ39))*$F$65,0)</f>
        <v>0.80999999999999994</v>
      </c>
      <c r="BB40" s="231">
        <f t="shared" si="33"/>
        <v>0</v>
      </c>
      <c r="BC40" s="228">
        <f t="shared" si="34"/>
        <v>0</v>
      </c>
      <c r="BD40" s="229">
        <f t="shared" si="17"/>
        <v>0</v>
      </c>
      <c r="BE40" s="48"/>
      <c r="BF40" s="46">
        <f t="shared" si="35"/>
        <v>0.44306568938972818</v>
      </c>
      <c r="BH40" s="227">
        <f t="shared" si="36"/>
        <v>0</v>
      </c>
      <c r="BI40" s="227">
        <f t="shared" si="37"/>
        <v>0</v>
      </c>
      <c r="BJ40" s="228">
        <f t="shared" si="38"/>
        <v>0</v>
      </c>
      <c r="BK40" s="228">
        <f t="shared" si="39"/>
        <v>0</v>
      </c>
      <c r="BL40" s="228">
        <f t="shared" si="40"/>
        <v>0</v>
      </c>
      <c r="BM40" s="228">
        <f t="shared" si="18"/>
        <v>0</v>
      </c>
      <c r="BN40" s="229">
        <f t="shared" si="19"/>
        <v>0</v>
      </c>
      <c r="BO40" s="228">
        <f t="shared" si="20"/>
        <v>0</v>
      </c>
      <c r="BP40" s="228">
        <f t="shared" si="21"/>
        <v>0</v>
      </c>
      <c r="BQ40" s="228">
        <f t="shared" si="22"/>
        <v>0</v>
      </c>
      <c r="BR40" s="228">
        <f t="shared" si="23"/>
        <v>0</v>
      </c>
      <c r="BS40" s="228">
        <f t="shared" si="41"/>
        <v>0</v>
      </c>
      <c r="BT40" s="228">
        <f t="shared" si="24"/>
        <v>0</v>
      </c>
      <c r="BU40" s="229">
        <f t="shared" si="42"/>
        <v>0</v>
      </c>
      <c r="BV40" s="229">
        <f t="shared" si="25"/>
        <v>0</v>
      </c>
      <c r="BW40" s="166"/>
      <c r="BX40" s="158">
        <f t="shared" si="43"/>
        <v>0</v>
      </c>
      <c r="BY40" s="286">
        <f t="shared" si="44"/>
        <v>0</v>
      </c>
      <c r="CA40"/>
    </row>
    <row r="41" spans="2:79" ht="15.75" customHeight="1">
      <c r="C41" s="2" t="s">
        <v>72</v>
      </c>
      <c r="D41" t="s">
        <v>8</v>
      </c>
      <c r="F41" s="290">
        <f>事業費用概算!G27</f>
        <v>0</v>
      </c>
      <c r="K41" t="s">
        <v>190</v>
      </c>
      <c r="N41" s="19" t="s">
        <v>8</v>
      </c>
      <c r="O41" s="21">
        <f>F40</f>
        <v>50</v>
      </c>
      <c r="P41" s="69">
        <f>F40*(1-F52)</f>
        <v>40</v>
      </c>
      <c r="Q41" t="s">
        <v>59</v>
      </c>
      <c r="V41" s="58">
        <f t="shared" si="26"/>
        <v>54513</v>
      </c>
      <c r="W41" s="26">
        <v>25</v>
      </c>
      <c r="X41" s="282" t="str">
        <f t="shared" si="27"/>
        <v>-</v>
      </c>
      <c r="Y41" s="239">
        <f t="shared" si="0"/>
        <v>0</v>
      </c>
      <c r="Z41" s="230">
        <f t="shared" si="1"/>
        <v>0</v>
      </c>
      <c r="AA41" s="230">
        <f t="shared" si="2"/>
        <v>0</v>
      </c>
      <c r="AB41" s="230">
        <f t="shared" si="3"/>
        <v>0</v>
      </c>
      <c r="AC41" s="231">
        <f t="shared" si="28"/>
        <v>0</v>
      </c>
      <c r="AD41" s="239">
        <f t="shared" si="4"/>
        <v>0</v>
      </c>
      <c r="AE41" s="230">
        <f t="shared" si="5"/>
        <v>0</v>
      </c>
      <c r="AF41" s="230">
        <f t="shared" si="6"/>
        <v>0</v>
      </c>
      <c r="AG41" s="230">
        <f>IF(AND(SUM($AA$16:AA40)&gt;0,SUM($AG$16:AG40)&lt;$O$62,$W41&gt;=$O$65),$O$64,0)</f>
        <v>74.8125</v>
      </c>
      <c r="AH41" s="228">
        <f>IF(SUM($AA$17:$AA40)&gt;0,($O$62-SUM($AG$17:$AG40))*$E$65,0)</f>
        <v>2.2443749999999998</v>
      </c>
      <c r="AI41" s="231">
        <f t="shared" si="29"/>
        <v>0</v>
      </c>
      <c r="AJ41" s="228">
        <f t="shared" si="7"/>
        <v>0</v>
      </c>
      <c r="AK41" s="253">
        <f>(SUM($P$31,$P$51)-SUM($AU$17:AU40))*$O$109</f>
        <v>3.2969182939268646E-15</v>
      </c>
      <c r="AL41" s="255"/>
      <c r="AM41" s="229">
        <f t="shared" si="8"/>
        <v>0</v>
      </c>
      <c r="AN41" s="164"/>
      <c r="AO41" s="227">
        <f t="shared" si="9"/>
        <v>0</v>
      </c>
      <c r="AP41" s="228">
        <f t="shared" si="10"/>
        <v>0</v>
      </c>
      <c r="AQ41" s="228">
        <f t="shared" si="11"/>
        <v>0</v>
      </c>
      <c r="AR41" s="230">
        <f t="shared" si="12"/>
        <v>0</v>
      </c>
      <c r="AS41" s="231">
        <f t="shared" si="30"/>
        <v>0</v>
      </c>
      <c r="AT41" s="230">
        <f t="shared" si="13"/>
        <v>0</v>
      </c>
      <c r="AU41" s="230">
        <f t="shared" si="14"/>
        <v>0</v>
      </c>
      <c r="AV41" s="230">
        <f t="shared" si="15"/>
        <v>0</v>
      </c>
      <c r="AW41" s="230">
        <f t="shared" si="31"/>
        <v>0</v>
      </c>
      <c r="AX41" s="230">
        <f t="shared" si="32"/>
        <v>0</v>
      </c>
      <c r="AY41" s="230">
        <f t="shared" si="16"/>
        <v>0</v>
      </c>
      <c r="AZ41" s="230">
        <f>IF(AND(SUM($AQ$16:AQ40)&gt;0,SUM($AZ$16:AZ40)&lt;$P$62,$W41&gt;=$P$65),$P$64,0)</f>
        <v>18</v>
      </c>
      <c r="BA41" s="230">
        <f>IF(SUM($AQ$17:$AQ40)&gt;0,($P$62-SUM($AZ$17:$AZ40))*$F$65,0)</f>
        <v>0.54</v>
      </c>
      <c r="BB41" s="231">
        <f t="shared" si="33"/>
        <v>0</v>
      </c>
      <c r="BC41" s="228">
        <f t="shared" si="34"/>
        <v>0</v>
      </c>
      <c r="BD41" s="229">
        <f t="shared" si="17"/>
        <v>0</v>
      </c>
      <c r="BE41" s="49"/>
      <c r="BF41" s="46">
        <f t="shared" si="35"/>
        <v>0.42828969491515534</v>
      </c>
      <c r="BH41" s="227">
        <f t="shared" si="36"/>
        <v>0</v>
      </c>
      <c r="BI41" s="227">
        <f t="shared" si="37"/>
        <v>0</v>
      </c>
      <c r="BJ41" s="228">
        <f t="shared" si="38"/>
        <v>0</v>
      </c>
      <c r="BK41" s="228">
        <f t="shared" si="39"/>
        <v>0</v>
      </c>
      <c r="BL41" s="228">
        <f t="shared" si="40"/>
        <v>0</v>
      </c>
      <c r="BM41" s="228">
        <f t="shared" si="18"/>
        <v>0</v>
      </c>
      <c r="BN41" s="229">
        <f t="shared" si="19"/>
        <v>0</v>
      </c>
      <c r="BO41" s="228">
        <f t="shared" si="20"/>
        <v>0</v>
      </c>
      <c r="BP41" s="228">
        <f t="shared" si="21"/>
        <v>0</v>
      </c>
      <c r="BQ41" s="228">
        <f t="shared" si="22"/>
        <v>0</v>
      </c>
      <c r="BR41" s="228">
        <f t="shared" si="23"/>
        <v>0</v>
      </c>
      <c r="BS41" s="228">
        <f t="shared" si="41"/>
        <v>0</v>
      </c>
      <c r="BT41" s="228">
        <f t="shared" si="24"/>
        <v>0</v>
      </c>
      <c r="BU41" s="229">
        <f t="shared" si="42"/>
        <v>0</v>
      </c>
      <c r="BV41" s="229">
        <f t="shared" si="25"/>
        <v>0</v>
      </c>
      <c r="BW41" s="166"/>
      <c r="BX41" s="158">
        <f t="shared" si="43"/>
        <v>0</v>
      </c>
      <c r="BY41" s="286">
        <f t="shared" si="44"/>
        <v>0</v>
      </c>
      <c r="CA41"/>
    </row>
    <row r="42" spans="2:79" ht="15.75" customHeight="1">
      <c r="C42" s="2" t="s">
        <v>71</v>
      </c>
      <c r="D42" t="s">
        <v>8</v>
      </c>
      <c r="F42" s="290">
        <f>事業費用概算!G28</f>
        <v>50</v>
      </c>
      <c r="K42" t="s">
        <v>21</v>
      </c>
      <c r="N42" s="19" t="s">
        <v>8</v>
      </c>
      <c r="O42" s="53"/>
      <c r="P42" s="69">
        <f>F56</f>
        <v>0</v>
      </c>
      <c r="Q42" t="s">
        <v>214</v>
      </c>
      <c r="V42" s="58">
        <f t="shared" si="26"/>
        <v>54878</v>
      </c>
      <c r="W42" s="26">
        <v>26</v>
      </c>
      <c r="X42" s="282" t="str">
        <f t="shared" si="27"/>
        <v>-</v>
      </c>
      <c r="Y42" s="239">
        <f t="shared" si="0"/>
        <v>0</v>
      </c>
      <c r="Z42" s="230">
        <f t="shared" si="1"/>
        <v>0</v>
      </c>
      <c r="AA42" s="230">
        <f t="shared" si="2"/>
        <v>0</v>
      </c>
      <c r="AB42" s="230">
        <f t="shared" si="3"/>
        <v>0</v>
      </c>
      <c r="AC42" s="231">
        <f t="shared" si="28"/>
        <v>0</v>
      </c>
      <c r="AD42" s="239">
        <f t="shared" si="4"/>
        <v>0</v>
      </c>
      <c r="AE42" s="230">
        <f t="shared" si="5"/>
        <v>0</v>
      </c>
      <c r="AF42" s="230">
        <f t="shared" si="6"/>
        <v>0</v>
      </c>
      <c r="AG42" s="230">
        <f>IF(AND(SUM($AA$16:AA41)&gt;0,SUM($AG$16:AG41)&lt;$O$62,$W42&gt;=$O$65),$O$64,0)</f>
        <v>74.8125</v>
      </c>
      <c r="AH42" s="228">
        <f>IF(SUM($AA$17:$AA41)&gt;0,($O$62-SUM($AG$17:$AG41))*$E$65,0)</f>
        <v>1.1221874999999999</v>
      </c>
      <c r="AI42" s="231">
        <f t="shared" si="29"/>
        <v>0</v>
      </c>
      <c r="AJ42" s="228">
        <f t="shared" si="7"/>
        <v>0</v>
      </c>
      <c r="AK42" s="253">
        <f>(SUM($P$31,$P$51)-SUM($AU$17:AU41))*$O$109</f>
        <v>3.2969182939268646E-15</v>
      </c>
      <c r="AL42" s="255"/>
      <c r="AM42" s="229">
        <f t="shared" si="8"/>
        <v>0</v>
      </c>
      <c r="AN42" s="164"/>
      <c r="AO42" s="227">
        <f t="shared" si="9"/>
        <v>0</v>
      </c>
      <c r="AP42" s="228">
        <f t="shared" si="10"/>
        <v>0</v>
      </c>
      <c r="AQ42" s="228">
        <f t="shared" si="11"/>
        <v>0</v>
      </c>
      <c r="AR42" s="230">
        <f t="shared" si="12"/>
        <v>0</v>
      </c>
      <c r="AS42" s="231">
        <f t="shared" si="30"/>
        <v>0</v>
      </c>
      <c r="AT42" s="230">
        <f t="shared" si="13"/>
        <v>0</v>
      </c>
      <c r="AU42" s="230">
        <f t="shared" si="14"/>
        <v>0</v>
      </c>
      <c r="AV42" s="230">
        <f t="shared" si="15"/>
        <v>0</v>
      </c>
      <c r="AW42" s="230">
        <f t="shared" si="31"/>
        <v>0</v>
      </c>
      <c r="AX42" s="230">
        <f t="shared" si="32"/>
        <v>0</v>
      </c>
      <c r="AY42" s="230">
        <f t="shared" si="16"/>
        <v>0</v>
      </c>
      <c r="AZ42" s="230">
        <f>IF(AND(SUM($AQ$16:AQ41)&gt;0,SUM($AZ$16:AZ41)&lt;$P$62,$W42&gt;=$P$65),$P$64,0)</f>
        <v>18</v>
      </c>
      <c r="BA42" s="230">
        <f>IF(SUM($AQ$17:$AQ41)&gt;0,($P$62-SUM($AZ$17:$AZ41))*$F$65,0)</f>
        <v>0.27</v>
      </c>
      <c r="BB42" s="231">
        <f t="shared" si="33"/>
        <v>0</v>
      </c>
      <c r="BC42" s="228">
        <f t="shared" si="34"/>
        <v>0</v>
      </c>
      <c r="BD42" s="229">
        <f t="shared" si="17"/>
        <v>0</v>
      </c>
      <c r="BE42" s="49"/>
      <c r="BF42" s="46">
        <f t="shared" si="35"/>
        <v>0.41400647164345611</v>
      </c>
      <c r="BH42" s="227">
        <f t="shared" si="36"/>
        <v>0</v>
      </c>
      <c r="BI42" s="227">
        <f t="shared" si="37"/>
        <v>0</v>
      </c>
      <c r="BJ42" s="228">
        <f t="shared" si="38"/>
        <v>0</v>
      </c>
      <c r="BK42" s="228">
        <f t="shared" si="39"/>
        <v>0</v>
      </c>
      <c r="BL42" s="228">
        <f t="shared" si="40"/>
        <v>0</v>
      </c>
      <c r="BM42" s="228">
        <f t="shared" si="18"/>
        <v>0</v>
      </c>
      <c r="BN42" s="229">
        <f t="shared" si="19"/>
        <v>0</v>
      </c>
      <c r="BO42" s="228">
        <f t="shared" si="20"/>
        <v>0</v>
      </c>
      <c r="BP42" s="228">
        <f t="shared" si="21"/>
        <v>0</v>
      </c>
      <c r="BQ42" s="228">
        <f t="shared" si="22"/>
        <v>0</v>
      </c>
      <c r="BR42" s="228">
        <f t="shared" si="23"/>
        <v>0</v>
      </c>
      <c r="BS42" s="228">
        <f t="shared" si="41"/>
        <v>0</v>
      </c>
      <c r="BT42" s="228">
        <f t="shared" si="24"/>
        <v>0</v>
      </c>
      <c r="BU42" s="229">
        <f t="shared" si="42"/>
        <v>0</v>
      </c>
      <c r="BV42" s="229">
        <f t="shared" si="25"/>
        <v>0</v>
      </c>
      <c r="BW42" s="166"/>
      <c r="BX42" s="158">
        <f t="shared" si="43"/>
        <v>0</v>
      </c>
      <c r="BY42" s="286">
        <f t="shared" si="44"/>
        <v>0</v>
      </c>
      <c r="CA42"/>
    </row>
    <row r="43" spans="2:79" ht="15.75" customHeight="1">
      <c r="B43" t="s">
        <v>255</v>
      </c>
      <c r="E43" s="19" t="s">
        <v>0</v>
      </c>
      <c r="F43" s="19" t="s">
        <v>1</v>
      </c>
      <c r="K43" t="s">
        <v>215</v>
      </c>
      <c r="N43" s="19" t="s">
        <v>8</v>
      </c>
      <c r="O43" s="69">
        <f>O41-O42</f>
        <v>50</v>
      </c>
      <c r="P43" s="69">
        <f>P41-P42</f>
        <v>40</v>
      </c>
      <c r="V43" s="58">
        <f t="shared" si="26"/>
        <v>55243</v>
      </c>
      <c r="W43" s="26">
        <v>27</v>
      </c>
      <c r="X43" s="282" t="str">
        <f t="shared" si="27"/>
        <v>-</v>
      </c>
      <c r="Y43" s="239">
        <f t="shared" si="0"/>
        <v>0</v>
      </c>
      <c r="Z43" s="230">
        <f t="shared" si="1"/>
        <v>0</v>
      </c>
      <c r="AA43" s="230">
        <f t="shared" si="2"/>
        <v>0</v>
      </c>
      <c r="AB43" s="230">
        <f t="shared" si="3"/>
        <v>0</v>
      </c>
      <c r="AC43" s="231">
        <f t="shared" si="28"/>
        <v>0</v>
      </c>
      <c r="AD43" s="239">
        <f t="shared" si="4"/>
        <v>0</v>
      </c>
      <c r="AE43" s="230">
        <f t="shared" si="5"/>
        <v>0</v>
      </c>
      <c r="AF43" s="230">
        <f t="shared" si="6"/>
        <v>0</v>
      </c>
      <c r="AG43" s="230">
        <f>IF(AND(SUM($AA$16:AA42)&gt;0,SUM($AG$16:AG42)&lt;$O$62,$W43&gt;=$O$65),$O$64,0)</f>
        <v>0</v>
      </c>
      <c r="AH43" s="228">
        <f>IF(SUM($AA$17:$AA42)&gt;0,($O$62-SUM($AG$17:$AG42))*$E$65,0)</f>
        <v>0</v>
      </c>
      <c r="AI43" s="231">
        <f t="shared" si="29"/>
        <v>0</v>
      </c>
      <c r="AJ43" s="228">
        <f t="shared" si="7"/>
        <v>0</v>
      </c>
      <c r="AK43" s="253">
        <f>(SUM($P$31,$P$51)-SUM($AU$17:AU42))*$O$109</f>
        <v>3.2969182939268646E-15</v>
      </c>
      <c r="AL43" s="255"/>
      <c r="AM43" s="229">
        <f t="shared" si="8"/>
        <v>0</v>
      </c>
      <c r="AN43" s="164"/>
      <c r="AO43" s="227">
        <f t="shared" si="9"/>
        <v>0</v>
      </c>
      <c r="AP43" s="228">
        <f t="shared" si="10"/>
        <v>0</v>
      </c>
      <c r="AQ43" s="228">
        <f t="shared" si="11"/>
        <v>0</v>
      </c>
      <c r="AR43" s="230">
        <f t="shared" si="12"/>
        <v>0</v>
      </c>
      <c r="AS43" s="231">
        <f t="shared" si="30"/>
        <v>0</v>
      </c>
      <c r="AT43" s="230">
        <f t="shared" si="13"/>
        <v>0</v>
      </c>
      <c r="AU43" s="230">
        <f t="shared" si="14"/>
        <v>0</v>
      </c>
      <c r="AV43" s="230">
        <f t="shared" si="15"/>
        <v>0</v>
      </c>
      <c r="AW43" s="230">
        <f t="shared" si="31"/>
        <v>0</v>
      </c>
      <c r="AX43" s="230">
        <f t="shared" si="32"/>
        <v>0</v>
      </c>
      <c r="AY43" s="230">
        <f t="shared" si="16"/>
        <v>0</v>
      </c>
      <c r="AZ43" s="230">
        <f>IF(AND(SUM($AQ$16:AQ42)&gt;0,SUM($AZ$16:AZ42)&lt;$P$62,$W43&gt;=$P$65),$P$64,0)</f>
        <v>0</v>
      </c>
      <c r="BA43" s="230">
        <f>IF(SUM($AQ$17:$AQ42)&gt;0,($P$62-SUM($AZ$17:$AZ42))*$F$65,0)</f>
        <v>0</v>
      </c>
      <c r="BB43" s="231">
        <f t="shared" si="33"/>
        <v>0</v>
      </c>
      <c r="BC43" s="228">
        <f t="shared" si="34"/>
        <v>0</v>
      </c>
      <c r="BD43" s="229">
        <f t="shared" si="17"/>
        <v>0</v>
      </c>
      <c r="BE43" s="49"/>
      <c r="BF43" s="46">
        <f t="shared" si="35"/>
        <v>0.40019958592890875</v>
      </c>
      <c r="BH43" s="227">
        <f t="shared" si="36"/>
        <v>0</v>
      </c>
      <c r="BI43" s="227">
        <f t="shared" si="37"/>
        <v>0</v>
      </c>
      <c r="BJ43" s="228">
        <f t="shared" si="38"/>
        <v>0</v>
      </c>
      <c r="BK43" s="228">
        <f t="shared" si="39"/>
        <v>0</v>
      </c>
      <c r="BL43" s="228">
        <f t="shared" si="40"/>
        <v>0</v>
      </c>
      <c r="BM43" s="228">
        <f t="shared" si="18"/>
        <v>0</v>
      </c>
      <c r="BN43" s="229">
        <f t="shared" si="19"/>
        <v>0</v>
      </c>
      <c r="BO43" s="228">
        <f t="shared" si="20"/>
        <v>0</v>
      </c>
      <c r="BP43" s="228">
        <f t="shared" si="21"/>
        <v>0</v>
      </c>
      <c r="BQ43" s="228">
        <f t="shared" si="22"/>
        <v>0</v>
      </c>
      <c r="BR43" s="228">
        <f t="shared" si="23"/>
        <v>0</v>
      </c>
      <c r="BS43" s="228">
        <f t="shared" si="41"/>
        <v>0</v>
      </c>
      <c r="BT43" s="228">
        <f t="shared" si="24"/>
        <v>0</v>
      </c>
      <c r="BU43" s="229">
        <f t="shared" si="42"/>
        <v>0</v>
      </c>
      <c r="BV43" s="229">
        <f t="shared" si="25"/>
        <v>0</v>
      </c>
      <c r="BW43" s="166"/>
      <c r="BX43" s="158">
        <f t="shared" si="43"/>
        <v>0</v>
      </c>
      <c r="BY43" s="286">
        <f t="shared" si="44"/>
        <v>0</v>
      </c>
      <c r="CA43"/>
    </row>
    <row r="44" spans="2:79" ht="15.75" customHeight="1">
      <c r="C44" s="275" t="s">
        <v>253</v>
      </c>
      <c r="D44" t="s">
        <v>8</v>
      </c>
      <c r="E44" s="276"/>
      <c r="F44" s="192">
        <v>25</v>
      </c>
      <c r="K44" t="s">
        <v>191</v>
      </c>
      <c r="N44" s="19" t="s">
        <v>8</v>
      </c>
      <c r="O44" s="21">
        <f>O41*$F$17</f>
        <v>1000</v>
      </c>
      <c r="P44" s="21">
        <f>P43*$F$17</f>
        <v>800</v>
      </c>
      <c r="V44" s="58">
        <f t="shared" si="26"/>
        <v>55609</v>
      </c>
      <c r="W44" s="26">
        <v>28</v>
      </c>
      <c r="X44" s="282" t="str">
        <f t="shared" si="27"/>
        <v>-</v>
      </c>
      <c r="Y44" s="239">
        <f t="shared" si="0"/>
        <v>0</v>
      </c>
      <c r="Z44" s="230">
        <f t="shared" si="1"/>
        <v>0</v>
      </c>
      <c r="AA44" s="230">
        <f t="shared" si="2"/>
        <v>0</v>
      </c>
      <c r="AB44" s="230">
        <f t="shared" si="3"/>
        <v>0</v>
      </c>
      <c r="AC44" s="231">
        <f t="shared" si="28"/>
        <v>0</v>
      </c>
      <c r="AD44" s="239">
        <f t="shared" si="4"/>
        <v>0</v>
      </c>
      <c r="AE44" s="230">
        <f t="shared" si="5"/>
        <v>0</v>
      </c>
      <c r="AF44" s="230">
        <f t="shared" si="6"/>
        <v>0</v>
      </c>
      <c r="AG44" s="230">
        <f>IF(AND(SUM($AA$16:AA43)&gt;0,SUM($AG$16:AG43)&lt;$O$62,$W44&gt;=$O$65),$O$64,0)</f>
        <v>0</v>
      </c>
      <c r="AH44" s="228">
        <f>IF(SUM($AA$17:$AA43)&gt;0,($O$62-SUM($AG$17:$AG43))*$E$65,0)</f>
        <v>0</v>
      </c>
      <c r="AI44" s="231">
        <f t="shared" si="29"/>
        <v>0</v>
      </c>
      <c r="AJ44" s="228">
        <f t="shared" si="7"/>
        <v>0</v>
      </c>
      <c r="AK44" s="253">
        <f>(SUM($P$31,$P$51)-SUM($AU$17:AU43))*$O$109</f>
        <v>3.2969182939268646E-15</v>
      </c>
      <c r="AL44" s="255"/>
      <c r="AM44" s="229">
        <f t="shared" si="8"/>
        <v>0</v>
      </c>
      <c r="AN44" s="164"/>
      <c r="AO44" s="227">
        <f t="shared" si="9"/>
        <v>0</v>
      </c>
      <c r="AP44" s="228">
        <f t="shared" si="10"/>
        <v>0</v>
      </c>
      <c r="AQ44" s="228">
        <f t="shared" si="11"/>
        <v>0</v>
      </c>
      <c r="AR44" s="230">
        <f t="shared" si="12"/>
        <v>0</v>
      </c>
      <c r="AS44" s="231">
        <f t="shared" si="30"/>
        <v>0</v>
      </c>
      <c r="AT44" s="230">
        <f t="shared" si="13"/>
        <v>0</v>
      </c>
      <c r="AU44" s="230">
        <f t="shared" si="14"/>
        <v>0</v>
      </c>
      <c r="AV44" s="230">
        <f t="shared" si="15"/>
        <v>0</v>
      </c>
      <c r="AW44" s="230">
        <f t="shared" si="31"/>
        <v>0</v>
      </c>
      <c r="AX44" s="230">
        <f t="shared" si="32"/>
        <v>0</v>
      </c>
      <c r="AY44" s="230">
        <f t="shared" si="16"/>
        <v>0</v>
      </c>
      <c r="AZ44" s="230">
        <f>IF(AND(SUM($AQ$16:AQ43)&gt;0,SUM($AZ$16:AZ43)&lt;$P$62,$W44&gt;=$P$65),$P$64,0)</f>
        <v>0</v>
      </c>
      <c r="BA44" s="230">
        <f>IF(SUM($AQ$17:$AQ43)&gt;0,($P$62-SUM($AZ$17:$AZ43))*$F$65,0)</f>
        <v>0</v>
      </c>
      <c r="BB44" s="231">
        <f t="shared" si="33"/>
        <v>0</v>
      </c>
      <c r="BC44" s="228">
        <f t="shared" si="34"/>
        <v>0</v>
      </c>
      <c r="BD44" s="229">
        <f t="shared" si="17"/>
        <v>0</v>
      </c>
      <c r="BE44" s="49"/>
      <c r="BF44" s="46">
        <f t="shared" si="35"/>
        <v>0.38685315217874217</v>
      </c>
      <c r="BH44" s="227">
        <f t="shared" si="36"/>
        <v>0</v>
      </c>
      <c r="BI44" s="227">
        <f t="shared" si="37"/>
        <v>0</v>
      </c>
      <c r="BJ44" s="228">
        <f t="shared" si="38"/>
        <v>0</v>
      </c>
      <c r="BK44" s="228">
        <f t="shared" si="39"/>
        <v>0</v>
      </c>
      <c r="BL44" s="228">
        <f t="shared" si="40"/>
        <v>0</v>
      </c>
      <c r="BM44" s="228">
        <f t="shared" si="18"/>
        <v>0</v>
      </c>
      <c r="BN44" s="229">
        <f t="shared" si="19"/>
        <v>0</v>
      </c>
      <c r="BO44" s="228">
        <f t="shared" si="20"/>
        <v>0</v>
      </c>
      <c r="BP44" s="228">
        <f t="shared" si="21"/>
        <v>0</v>
      </c>
      <c r="BQ44" s="228">
        <f t="shared" si="22"/>
        <v>0</v>
      </c>
      <c r="BR44" s="228">
        <f t="shared" si="23"/>
        <v>0</v>
      </c>
      <c r="BS44" s="228">
        <f t="shared" si="41"/>
        <v>0</v>
      </c>
      <c r="BT44" s="228">
        <f t="shared" si="24"/>
        <v>0</v>
      </c>
      <c r="BU44" s="229">
        <f t="shared" si="42"/>
        <v>0</v>
      </c>
      <c r="BV44" s="229">
        <f t="shared" si="25"/>
        <v>0</v>
      </c>
      <c r="BW44" s="166"/>
      <c r="BX44" s="158">
        <f t="shared" si="43"/>
        <v>0</v>
      </c>
      <c r="BY44" s="286">
        <f t="shared" si="44"/>
        <v>0</v>
      </c>
      <c r="CA44"/>
    </row>
    <row r="45" spans="2:79" ht="15.75" customHeight="1">
      <c r="C45" t="s">
        <v>254</v>
      </c>
      <c r="D45" t="s">
        <v>8</v>
      </c>
      <c r="E45" s="192">
        <v>10</v>
      </c>
      <c r="F45" s="192">
        <v>6</v>
      </c>
      <c r="V45" s="58">
        <f t="shared" si="26"/>
        <v>55974</v>
      </c>
      <c r="W45" s="26">
        <v>29</v>
      </c>
      <c r="X45" s="282" t="str">
        <f t="shared" si="27"/>
        <v>-</v>
      </c>
      <c r="Y45" s="239">
        <f t="shared" si="0"/>
        <v>0</v>
      </c>
      <c r="Z45" s="230">
        <f t="shared" si="1"/>
        <v>0</v>
      </c>
      <c r="AA45" s="230">
        <f t="shared" si="2"/>
        <v>0</v>
      </c>
      <c r="AB45" s="230">
        <f t="shared" si="3"/>
        <v>0</v>
      </c>
      <c r="AC45" s="231">
        <f t="shared" si="28"/>
        <v>0</v>
      </c>
      <c r="AD45" s="239">
        <f t="shared" si="4"/>
        <v>0</v>
      </c>
      <c r="AE45" s="230">
        <f t="shared" si="5"/>
        <v>0</v>
      </c>
      <c r="AF45" s="230">
        <f t="shared" si="6"/>
        <v>0</v>
      </c>
      <c r="AG45" s="230">
        <f>IF(AND(SUM($AA$16:AA44)&gt;0,SUM($AG$16:AG44)&lt;$O$62,$W45&gt;=$O$65),$O$64,0)</f>
        <v>0</v>
      </c>
      <c r="AH45" s="228">
        <f>IF(SUM($AA$17:$AA44)&gt;0,($O$62-SUM($AG$17:$AG44))*$E$65,0)</f>
        <v>0</v>
      </c>
      <c r="AI45" s="231">
        <f t="shared" si="29"/>
        <v>0</v>
      </c>
      <c r="AJ45" s="228">
        <f t="shared" si="7"/>
        <v>0</v>
      </c>
      <c r="AK45" s="253">
        <f>(SUM($P$31,$P$51)-SUM($AU$17:AU44))*$O$109</f>
        <v>3.2969182939268646E-15</v>
      </c>
      <c r="AL45" s="255"/>
      <c r="AM45" s="229">
        <f t="shared" si="8"/>
        <v>0</v>
      </c>
      <c r="AN45" s="164"/>
      <c r="AO45" s="227">
        <f t="shared" si="9"/>
        <v>0</v>
      </c>
      <c r="AP45" s="228">
        <f t="shared" si="10"/>
        <v>0</v>
      </c>
      <c r="AQ45" s="228">
        <f t="shared" si="11"/>
        <v>0</v>
      </c>
      <c r="AR45" s="230">
        <f t="shared" si="12"/>
        <v>0</v>
      </c>
      <c r="AS45" s="231">
        <f t="shared" si="30"/>
        <v>0</v>
      </c>
      <c r="AT45" s="230">
        <f t="shared" si="13"/>
        <v>0</v>
      </c>
      <c r="AU45" s="230">
        <f t="shared" si="14"/>
        <v>0</v>
      </c>
      <c r="AV45" s="230">
        <f t="shared" si="15"/>
        <v>0</v>
      </c>
      <c r="AW45" s="230">
        <f t="shared" si="31"/>
        <v>0</v>
      </c>
      <c r="AX45" s="230">
        <f t="shared" si="32"/>
        <v>0</v>
      </c>
      <c r="AY45" s="230">
        <f t="shared" si="16"/>
        <v>0</v>
      </c>
      <c r="AZ45" s="230">
        <f>IF(AND(SUM($AQ$16:AQ44)&gt;0,SUM($AZ$16:AZ44)&lt;$P$62,$W45&gt;=$P$65),$P$64,0)</f>
        <v>0</v>
      </c>
      <c r="BA45" s="230">
        <f>IF(SUM($AQ$17:$AQ44)&gt;0,($P$62-SUM($AZ$17:$AZ44))*$F$65,0)</f>
        <v>0</v>
      </c>
      <c r="BB45" s="231">
        <f t="shared" si="33"/>
        <v>0</v>
      </c>
      <c r="BC45" s="228">
        <f t="shared" si="34"/>
        <v>0</v>
      </c>
      <c r="BD45" s="229">
        <f t="shared" si="17"/>
        <v>0</v>
      </c>
      <c r="BE45" s="49"/>
      <c r="BF45" s="46">
        <f t="shared" si="35"/>
        <v>0.37395181457587451</v>
      </c>
      <c r="BH45" s="227">
        <f t="shared" si="36"/>
        <v>0</v>
      </c>
      <c r="BI45" s="227">
        <f t="shared" si="37"/>
        <v>0</v>
      </c>
      <c r="BJ45" s="228">
        <f t="shared" si="38"/>
        <v>0</v>
      </c>
      <c r="BK45" s="228">
        <f t="shared" si="39"/>
        <v>0</v>
      </c>
      <c r="BL45" s="228">
        <f t="shared" si="40"/>
        <v>0</v>
      </c>
      <c r="BM45" s="228">
        <f t="shared" si="18"/>
        <v>0</v>
      </c>
      <c r="BN45" s="229">
        <f t="shared" si="19"/>
        <v>0</v>
      </c>
      <c r="BO45" s="228">
        <f t="shared" si="20"/>
        <v>0</v>
      </c>
      <c r="BP45" s="228">
        <f t="shared" si="21"/>
        <v>0</v>
      </c>
      <c r="BQ45" s="228">
        <f t="shared" si="22"/>
        <v>0</v>
      </c>
      <c r="BR45" s="228">
        <f t="shared" si="23"/>
        <v>0</v>
      </c>
      <c r="BS45" s="228">
        <f t="shared" si="41"/>
        <v>0</v>
      </c>
      <c r="BT45" s="228">
        <f t="shared" si="24"/>
        <v>0</v>
      </c>
      <c r="BU45" s="229">
        <f t="shared" si="42"/>
        <v>0</v>
      </c>
      <c r="BV45" s="229">
        <f t="shared" si="25"/>
        <v>0</v>
      </c>
      <c r="BW45" s="166"/>
      <c r="BX45" s="158">
        <f t="shared" si="43"/>
        <v>0</v>
      </c>
      <c r="BY45" s="286">
        <f t="shared" si="44"/>
        <v>0</v>
      </c>
      <c r="CA45"/>
    </row>
    <row r="46" spans="2:79" ht="15.75" customHeight="1">
      <c r="B46" t="s">
        <v>218</v>
      </c>
      <c r="J46" s="4" t="s">
        <v>218</v>
      </c>
      <c r="V46" s="58">
        <f t="shared" si="26"/>
        <v>56339</v>
      </c>
      <c r="W46" s="26">
        <v>30</v>
      </c>
      <c r="X46" s="282" t="str">
        <f t="shared" si="27"/>
        <v>-</v>
      </c>
      <c r="Y46" s="239">
        <f t="shared" si="0"/>
        <v>0</v>
      </c>
      <c r="Z46" s="230">
        <f t="shared" si="1"/>
        <v>0</v>
      </c>
      <c r="AA46" s="230">
        <f t="shared" si="2"/>
        <v>0</v>
      </c>
      <c r="AB46" s="230">
        <f t="shared" si="3"/>
        <v>0</v>
      </c>
      <c r="AC46" s="231">
        <f t="shared" si="28"/>
        <v>0</v>
      </c>
      <c r="AD46" s="239">
        <f t="shared" si="4"/>
        <v>0</v>
      </c>
      <c r="AE46" s="230">
        <f t="shared" si="5"/>
        <v>0</v>
      </c>
      <c r="AF46" s="230">
        <f t="shared" si="6"/>
        <v>0</v>
      </c>
      <c r="AG46" s="230">
        <f>IF(AND(SUM($AA$16:AA45)&gt;0,SUM($AG$16:AG45)&lt;$O$62,$W46&gt;=$O$65),$O$64,0)</f>
        <v>0</v>
      </c>
      <c r="AH46" s="228">
        <f>IF(SUM($AA$17:$AA45)&gt;0,($O$62-SUM($AG$17:$AG45))*$E$65,0)</f>
        <v>0</v>
      </c>
      <c r="AI46" s="231">
        <f t="shared" si="29"/>
        <v>0</v>
      </c>
      <c r="AJ46" s="228">
        <f t="shared" si="7"/>
        <v>0</v>
      </c>
      <c r="AK46" s="253">
        <f>(SUM($P$31,$P$51)-SUM($AU$17:AU45))*$O$109</f>
        <v>3.2969182939268646E-15</v>
      </c>
      <c r="AL46" s="255"/>
      <c r="AM46" s="229">
        <f t="shared" si="8"/>
        <v>0</v>
      </c>
      <c r="AN46" s="164"/>
      <c r="AO46" s="227">
        <f t="shared" si="9"/>
        <v>0</v>
      </c>
      <c r="AP46" s="228">
        <f t="shared" si="10"/>
        <v>0</v>
      </c>
      <c r="AQ46" s="228">
        <f t="shared" si="11"/>
        <v>0</v>
      </c>
      <c r="AR46" s="230">
        <f t="shared" si="12"/>
        <v>0</v>
      </c>
      <c r="AS46" s="231">
        <f t="shared" si="30"/>
        <v>0</v>
      </c>
      <c r="AT46" s="230">
        <f t="shared" si="13"/>
        <v>0</v>
      </c>
      <c r="AU46" s="230">
        <f t="shared" si="14"/>
        <v>0</v>
      </c>
      <c r="AV46" s="230">
        <f t="shared" si="15"/>
        <v>0</v>
      </c>
      <c r="AW46" s="230">
        <f t="shared" si="31"/>
        <v>0</v>
      </c>
      <c r="AX46" s="230">
        <f t="shared" si="32"/>
        <v>0</v>
      </c>
      <c r="AY46" s="230">
        <f t="shared" si="16"/>
        <v>0</v>
      </c>
      <c r="AZ46" s="230">
        <f>IF(AND(SUM($AQ$16:AQ45)&gt;0,SUM($AZ$16:AZ45)&lt;$P$62,$W46&gt;=$P$65),$P$64,0)</f>
        <v>0</v>
      </c>
      <c r="BA46" s="230">
        <f>IF(SUM($AQ$17:$AQ45)&gt;0,($P$62-SUM($AZ$17:$AZ45))*$F$65,0)</f>
        <v>0</v>
      </c>
      <c r="BB46" s="231">
        <f t="shared" si="33"/>
        <v>0</v>
      </c>
      <c r="BC46" s="228">
        <f t="shared" si="34"/>
        <v>0</v>
      </c>
      <c r="BD46" s="229">
        <f t="shared" si="17"/>
        <v>0</v>
      </c>
      <c r="BE46" s="49"/>
      <c r="BF46" s="47">
        <f t="shared" si="35"/>
        <v>0.36148072941118853</v>
      </c>
      <c r="BH46" s="227">
        <f t="shared" si="36"/>
        <v>0</v>
      </c>
      <c r="BI46" s="227">
        <f t="shared" si="37"/>
        <v>0</v>
      </c>
      <c r="BJ46" s="228">
        <f t="shared" si="38"/>
        <v>0</v>
      </c>
      <c r="BK46" s="228">
        <f t="shared" si="39"/>
        <v>0</v>
      </c>
      <c r="BL46" s="228">
        <f t="shared" si="40"/>
        <v>0</v>
      </c>
      <c r="BM46" s="230">
        <f t="shared" si="18"/>
        <v>0</v>
      </c>
      <c r="BN46" s="231">
        <f t="shared" si="19"/>
        <v>0</v>
      </c>
      <c r="BO46" s="228">
        <f t="shared" si="20"/>
        <v>0</v>
      </c>
      <c r="BP46" s="228">
        <f t="shared" si="21"/>
        <v>0</v>
      </c>
      <c r="BQ46" s="228">
        <f t="shared" si="22"/>
        <v>0</v>
      </c>
      <c r="BR46" s="228">
        <f t="shared" si="23"/>
        <v>0</v>
      </c>
      <c r="BS46" s="228">
        <f t="shared" si="41"/>
        <v>0</v>
      </c>
      <c r="BT46" s="228">
        <f t="shared" si="24"/>
        <v>0</v>
      </c>
      <c r="BU46" s="231">
        <f t="shared" si="42"/>
        <v>0</v>
      </c>
      <c r="BV46" s="231">
        <f t="shared" si="25"/>
        <v>0</v>
      </c>
      <c r="BW46" s="166"/>
      <c r="BX46" s="158">
        <f t="shared" si="43"/>
        <v>0</v>
      </c>
      <c r="BY46" s="286">
        <f t="shared" si="44"/>
        <v>0</v>
      </c>
      <c r="CA46"/>
    </row>
    <row r="47" spans="2:79" ht="15.75" customHeight="1">
      <c r="F47" s="73">
        <v>1</v>
      </c>
      <c r="G47">
        <v>0</v>
      </c>
      <c r="H47" t="s">
        <v>162</v>
      </c>
      <c r="K47" t="s">
        <v>163</v>
      </c>
      <c r="O47" t="s">
        <v>0</v>
      </c>
      <c r="P47" t="s">
        <v>1</v>
      </c>
      <c r="V47" s="58">
        <f t="shared" ref="V47:V54" si="45">IF(W47=1,DATE(YEAR($F$18)+(MONTH($F$18)&gt;=4),4,0),EOMONTH(V46,12))</f>
        <v>56704</v>
      </c>
      <c r="W47" s="26">
        <v>31</v>
      </c>
      <c r="X47" s="282" t="str">
        <f t="shared" si="27"/>
        <v>-</v>
      </c>
      <c r="Y47" s="239">
        <f t="shared" si="0"/>
        <v>0</v>
      </c>
      <c r="Z47" s="230">
        <f t="shared" si="1"/>
        <v>0</v>
      </c>
      <c r="AA47" s="230">
        <f t="shared" si="2"/>
        <v>0</v>
      </c>
      <c r="AB47" s="230">
        <f t="shared" ref="AB47:AB54" si="46">IF(X47="維持管理・運営期間",$F$56,0)</f>
        <v>0</v>
      </c>
      <c r="AC47" s="231">
        <f t="shared" ref="AC47:AC54" si="47">SUM(Y47:Z47,AB47)</f>
        <v>0</v>
      </c>
      <c r="AD47" s="239">
        <f t="shared" si="4"/>
        <v>0</v>
      </c>
      <c r="AE47" s="230">
        <f t="shared" si="5"/>
        <v>0</v>
      </c>
      <c r="AF47" s="230">
        <f t="shared" ref="AF47:AF56" si="48">IF(AND($W47&gt;0,$W47&lt;=$O$16),$E$45,0)</f>
        <v>0</v>
      </c>
      <c r="AG47" s="230">
        <f>IF(AND(SUM($AA$16:AA46)&gt;0,SUM($AG$16:AG46)&lt;$O$62,$W47&gt;=$O$65),$O$64,0)</f>
        <v>0</v>
      </c>
      <c r="AH47" s="228">
        <f>IF(SUM($AA$17:$AA46)&gt;0,($O$62-SUM($AG$17:$AG46))*$E$65,0)</f>
        <v>0</v>
      </c>
      <c r="AI47" s="231">
        <f t="shared" ref="AI47:AI54" si="49">SUM(AD47:AF47)</f>
        <v>0</v>
      </c>
      <c r="AJ47" s="228">
        <f t="shared" ref="AJ47:AJ54" si="50">AC47-AI47</f>
        <v>0</v>
      </c>
      <c r="AK47" s="253">
        <f>(SUM($P$31,$P$51)-SUM($AU$17:AU46))*$O$109</f>
        <v>3.2969182939268646E-15</v>
      </c>
      <c r="AL47" s="255"/>
      <c r="AM47" s="229">
        <f t="shared" ref="AM47:AM54" si="51">AJ47*$BF47</f>
        <v>0</v>
      </c>
      <c r="AN47" s="164"/>
      <c r="AO47" s="227">
        <f t="shared" si="9"/>
        <v>0</v>
      </c>
      <c r="AP47" s="228">
        <f t="shared" si="10"/>
        <v>0</v>
      </c>
      <c r="AQ47" s="228">
        <f t="shared" si="11"/>
        <v>0</v>
      </c>
      <c r="AR47" s="230">
        <f t="shared" si="12"/>
        <v>0</v>
      </c>
      <c r="AS47" s="231">
        <f t="shared" ref="AS47:AS54" si="52">SUM(AO47:AP47,AR47)</f>
        <v>0</v>
      </c>
      <c r="AT47" s="230">
        <f t="shared" ref="AT47:AT54" si="53">IF(W47=$F$16,$P$30,0)</f>
        <v>0</v>
      </c>
      <c r="AU47" s="230">
        <f t="shared" ref="AU47:AU54" si="54">IFERROR(-PPMT($P$36,W47-$F$16,$F$17,SUM(P$31,P$51)),0)</f>
        <v>0</v>
      </c>
      <c r="AV47" s="230">
        <f t="shared" ref="AV47:AV54" si="55">IFERROR(-IPMT($P$36,W47-$F$16,$F$17,SUM($P$31,$P$51)),0)</f>
        <v>0</v>
      </c>
      <c r="AW47" s="230">
        <f t="shared" ref="AW47:AW54" si="56">IF(AND(W47&gt;$F$16,W47&lt;=SUM($F$16:$F$17)),$P$43,0)</f>
        <v>0</v>
      </c>
      <c r="AX47" s="230">
        <f t="shared" si="32"/>
        <v>0</v>
      </c>
      <c r="AY47" s="230">
        <f t="shared" ref="AY47:AY54" si="57">IF(AND(W47&gt;$F$16,W47&lt;=SUM($F$16:$F$17)),$P$54,0)</f>
        <v>0</v>
      </c>
      <c r="AZ47" s="230">
        <f>IF(AND(SUM($AQ$16:AQ46)&gt;0,SUM($AZ$16:AZ46)&lt;$P$62,$W47&gt;=$P$65),$P$64,0)</f>
        <v>0</v>
      </c>
      <c r="BA47" s="230">
        <f>IF(SUM($AQ$17:$AQ46)&gt;0,($P$62-SUM($AZ$17:$AZ46))*$F$65,0)</f>
        <v>0</v>
      </c>
      <c r="BB47" s="231">
        <f t="shared" ref="BB47:BB54" si="58">SUM(AT47:AY47)</f>
        <v>0</v>
      </c>
      <c r="BC47" s="228">
        <f t="shared" ref="BC47:BC54" si="59">AS47-BB47</f>
        <v>0</v>
      </c>
      <c r="BD47" s="229">
        <f t="shared" ref="BD47:BD54" si="60">BC47*$BF47</f>
        <v>0</v>
      </c>
      <c r="BE47" s="49"/>
      <c r="BF47" s="47">
        <f t="shared" si="35"/>
        <v>0.34942554800501552</v>
      </c>
      <c r="BH47" s="227">
        <f t="shared" ref="BH47:BH54" si="61">AT47</f>
        <v>0</v>
      </c>
      <c r="BI47" s="227">
        <f t="shared" ref="BI47:BI54" si="62">AU47</f>
        <v>0</v>
      </c>
      <c r="BJ47" s="228">
        <f t="shared" ref="BJ47:BJ54" si="63">AV47</f>
        <v>0</v>
      </c>
      <c r="BK47" s="228">
        <f t="shared" ref="BK47:BK54" si="64">AW47</f>
        <v>0</v>
      </c>
      <c r="BL47" s="228">
        <f t="shared" ref="BL47:BL54" si="65">AY47</f>
        <v>0</v>
      </c>
      <c r="BM47" s="230">
        <f t="shared" ref="BM47:BM56" si="66">IF($W47&gt;$F$16,$F$56,0)</f>
        <v>0</v>
      </c>
      <c r="BN47" s="231">
        <f t="shared" ref="BN47:BN54" si="67">SUM(BH47:BM47)</f>
        <v>0</v>
      </c>
      <c r="BO47" s="228">
        <f t="shared" si="20"/>
        <v>0</v>
      </c>
      <c r="BP47" s="228">
        <f t="shared" ref="BP47:BP54" si="68">IF(AND(W47&gt;$F$16,W47&lt;=SUM($F$16:$F$17)),$P$41,0)</f>
        <v>0</v>
      </c>
      <c r="BQ47" s="228">
        <f t="shared" si="22"/>
        <v>0</v>
      </c>
      <c r="BR47" s="228">
        <f t="shared" ref="BR47:BR56" si="69">IF($W47&lt;=$O$16,$F$105,0)</f>
        <v>0</v>
      </c>
      <c r="BS47" s="228">
        <f t="shared" si="41"/>
        <v>0</v>
      </c>
      <c r="BT47" s="228">
        <f t="shared" si="24"/>
        <v>0</v>
      </c>
      <c r="BU47" s="231">
        <f t="shared" ref="BU47:BU54" si="70">SUM(BO47:BP47,BR47:BT47)</f>
        <v>0</v>
      </c>
      <c r="BV47" s="231">
        <f t="shared" ref="BV47:BV54" si="71">BN47-BU47</f>
        <v>0</v>
      </c>
      <c r="BW47" s="166"/>
      <c r="BX47" s="158">
        <f t="shared" si="43"/>
        <v>0</v>
      </c>
      <c r="BY47" s="286">
        <f t="shared" si="44"/>
        <v>0</v>
      </c>
      <c r="CA47"/>
    </row>
    <row r="48" spans="2:79" ht="15.75" customHeight="1">
      <c r="G48">
        <v>1</v>
      </c>
      <c r="H48" t="s">
        <v>161</v>
      </c>
      <c r="I48" s="19"/>
      <c r="M48" t="s">
        <v>164</v>
      </c>
      <c r="N48" s="19" t="s">
        <v>8</v>
      </c>
      <c r="O48" s="53"/>
      <c r="P48" s="121">
        <f>F104</f>
        <v>100</v>
      </c>
      <c r="V48" s="58">
        <f t="shared" si="45"/>
        <v>57070</v>
      </c>
      <c r="W48" s="26">
        <v>32</v>
      </c>
      <c r="X48" s="282" t="str">
        <f t="shared" si="27"/>
        <v>-</v>
      </c>
      <c r="Y48" s="239">
        <f t="shared" si="0"/>
        <v>0</v>
      </c>
      <c r="Z48" s="230">
        <f t="shared" si="1"/>
        <v>0</v>
      </c>
      <c r="AA48" s="230">
        <f t="shared" si="2"/>
        <v>0</v>
      </c>
      <c r="AB48" s="230">
        <f t="shared" si="46"/>
        <v>0</v>
      </c>
      <c r="AC48" s="231">
        <f t="shared" si="47"/>
        <v>0</v>
      </c>
      <c r="AD48" s="239">
        <f t="shared" si="4"/>
        <v>0</v>
      </c>
      <c r="AE48" s="230">
        <f t="shared" si="5"/>
        <v>0</v>
      </c>
      <c r="AF48" s="230">
        <f t="shared" si="48"/>
        <v>0</v>
      </c>
      <c r="AG48" s="230">
        <f>IF(AND(SUM($AA$16:AA47)&gt;0,SUM($AG$16:AG47)&lt;$O$62,$W48&gt;=$O$65),$O$64,0)</f>
        <v>0</v>
      </c>
      <c r="AH48" s="228">
        <f>IF(SUM($AA$17:$AA47)&gt;0,($O$62-SUM($AG$17:$AG47))*$E$65,0)</f>
        <v>0</v>
      </c>
      <c r="AI48" s="231">
        <f t="shared" si="49"/>
        <v>0</v>
      </c>
      <c r="AJ48" s="228">
        <f t="shared" si="50"/>
        <v>0</v>
      </c>
      <c r="AK48" s="253">
        <f>(SUM($P$31,$P$51)-SUM($AU$17:AU47))*$O$109</f>
        <v>3.2969182939268646E-15</v>
      </c>
      <c r="AL48" s="255"/>
      <c r="AM48" s="229">
        <f t="shared" si="51"/>
        <v>0</v>
      </c>
      <c r="AN48" s="164"/>
      <c r="AO48" s="227">
        <f t="shared" si="9"/>
        <v>0</v>
      </c>
      <c r="AP48" s="228">
        <f t="shared" si="10"/>
        <v>0</v>
      </c>
      <c r="AQ48" s="228">
        <f t="shared" si="11"/>
        <v>0</v>
      </c>
      <c r="AR48" s="230">
        <f t="shared" si="12"/>
        <v>0</v>
      </c>
      <c r="AS48" s="231">
        <f t="shared" si="52"/>
        <v>0</v>
      </c>
      <c r="AT48" s="230">
        <f t="shared" si="53"/>
        <v>0</v>
      </c>
      <c r="AU48" s="230">
        <f t="shared" si="54"/>
        <v>0</v>
      </c>
      <c r="AV48" s="230">
        <f t="shared" si="55"/>
        <v>0</v>
      </c>
      <c r="AW48" s="230">
        <f t="shared" si="56"/>
        <v>0</v>
      </c>
      <c r="AX48" s="230">
        <f t="shared" si="32"/>
        <v>0</v>
      </c>
      <c r="AY48" s="230">
        <f t="shared" si="57"/>
        <v>0</v>
      </c>
      <c r="AZ48" s="230">
        <f>IF(AND(SUM($AQ$16:AQ47)&gt;0,SUM($AZ$16:AZ47)&lt;$P$62,$W48&gt;=$P$65),$P$64,0)</f>
        <v>0</v>
      </c>
      <c r="BA48" s="230">
        <f>IF(SUM($AQ$17:$AQ47)&gt;0,($P$62-SUM($AZ$17:$AZ47))*$F$65,0)</f>
        <v>0</v>
      </c>
      <c r="BB48" s="231">
        <f t="shared" si="58"/>
        <v>0</v>
      </c>
      <c r="BC48" s="228">
        <f t="shared" si="59"/>
        <v>0</v>
      </c>
      <c r="BD48" s="229">
        <f t="shared" si="60"/>
        <v>0</v>
      </c>
      <c r="BE48" s="49"/>
      <c r="BF48" s="47">
        <f t="shared" si="35"/>
        <v>0.33777240019817839</v>
      </c>
      <c r="BH48" s="227">
        <f t="shared" si="61"/>
        <v>0</v>
      </c>
      <c r="BI48" s="227">
        <f t="shared" si="62"/>
        <v>0</v>
      </c>
      <c r="BJ48" s="228">
        <f t="shared" si="63"/>
        <v>0</v>
      </c>
      <c r="BK48" s="228">
        <f t="shared" si="64"/>
        <v>0</v>
      </c>
      <c r="BL48" s="228">
        <f t="shared" si="65"/>
        <v>0</v>
      </c>
      <c r="BM48" s="230">
        <f t="shared" si="66"/>
        <v>0</v>
      </c>
      <c r="BN48" s="231">
        <f t="shared" si="67"/>
        <v>0</v>
      </c>
      <c r="BO48" s="228">
        <f t="shared" si="20"/>
        <v>0</v>
      </c>
      <c r="BP48" s="228">
        <f t="shared" si="68"/>
        <v>0</v>
      </c>
      <c r="BQ48" s="228">
        <f t="shared" si="22"/>
        <v>0</v>
      </c>
      <c r="BR48" s="228">
        <f t="shared" si="69"/>
        <v>0</v>
      </c>
      <c r="BS48" s="228">
        <f t="shared" si="41"/>
        <v>0</v>
      </c>
      <c r="BT48" s="228">
        <f t="shared" si="24"/>
        <v>0</v>
      </c>
      <c r="BU48" s="231">
        <f t="shared" si="70"/>
        <v>0</v>
      </c>
      <c r="BV48" s="231">
        <f t="shared" si="71"/>
        <v>0</v>
      </c>
      <c r="BW48" s="166"/>
      <c r="BX48" s="158">
        <f t="shared" si="43"/>
        <v>0</v>
      </c>
      <c r="BY48" s="286">
        <f t="shared" si="44"/>
        <v>0</v>
      </c>
    </row>
    <row r="49" spans="1:77" ht="15.75" customHeight="1">
      <c r="B49" s="93" t="s">
        <v>216</v>
      </c>
      <c r="M49" t="s">
        <v>169</v>
      </c>
      <c r="N49" s="19" t="s">
        <v>8</v>
      </c>
      <c r="O49" s="122"/>
      <c r="P49" s="123">
        <f>F105*$F$16</f>
        <v>36</v>
      </c>
      <c r="V49" s="58">
        <f t="shared" si="45"/>
        <v>57435</v>
      </c>
      <c r="W49" s="26">
        <v>33</v>
      </c>
      <c r="X49" s="282" t="str">
        <f t="shared" si="27"/>
        <v>-</v>
      </c>
      <c r="Y49" s="239">
        <f t="shared" si="0"/>
        <v>0</v>
      </c>
      <c r="Z49" s="230">
        <f t="shared" si="1"/>
        <v>0</v>
      </c>
      <c r="AA49" s="230">
        <f t="shared" si="2"/>
        <v>0</v>
      </c>
      <c r="AB49" s="230">
        <f t="shared" si="46"/>
        <v>0</v>
      </c>
      <c r="AC49" s="231">
        <f t="shared" si="47"/>
        <v>0</v>
      </c>
      <c r="AD49" s="239">
        <f t="shared" si="4"/>
        <v>0</v>
      </c>
      <c r="AE49" s="230">
        <f t="shared" si="5"/>
        <v>0</v>
      </c>
      <c r="AF49" s="230">
        <f t="shared" si="48"/>
        <v>0</v>
      </c>
      <c r="AG49" s="230">
        <f>IF(AND(SUM($AA$16:AA48)&gt;0,SUM($AG$16:AG48)&lt;$O$62,$W49&gt;=$O$65),$O$64,0)</f>
        <v>0</v>
      </c>
      <c r="AH49" s="228">
        <f>IF(SUM($AA$17:$AA48)&gt;0,($O$62-SUM($AG$17:$AG48))*$E$65,0)</f>
        <v>0</v>
      </c>
      <c r="AI49" s="231">
        <f t="shared" si="49"/>
        <v>0</v>
      </c>
      <c r="AJ49" s="228">
        <f t="shared" si="50"/>
        <v>0</v>
      </c>
      <c r="AK49" s="253">
        <f>(SUM($P$31,$P$51)-SUM($AU$17:AU48))*$O$109</f>
        <v>3.2969182939268646E-15</v>
      </c>
      <c r="AL49" s="255"/>
      <c r="AM49" s="229">
        <f t="shared" si="51"/>
        <v>0</v>
      </c>
      <c r="AN49" s="164"/>
      <c r="AO49" s="227">
        <f t="shared" si="9"/>
        <v>0</v>
      </c>
      <c r="AP49" s="228">
        <f t="shared" si="10"/>
        <v>0</v>
      </c>
      <c r="AQ49" s="228">
        <f t="shared" si="11"/>
        <v>0</v>
      </c>
      <c r="AR49" s="230">
        <f t="shared" si="12"/>
        <v>0</v>
      </c>
      <c r="AS49" s="231">
        <f t="shared" si="52"/>
        <v>0</v>
      </c>
      <c r="AT49" s="230">
        <f t="shared" si="53"/>
        <v>0</v>
      </c>
      <c r="AU49" s="230">
        <f t="shared" si="54"/>
        <v>0</v>
      </c>
      <c r="AV49" s="230">
        <f t="shared" si="55"/>
        <v>0</v>
      </c>
      <c r="AW49" s="230">
        <f t="shared" si="56"/>
        <v>0</v>
      </c>
      <c r="AX49" s="230">
        <f t="shared" si="32"/>
        <v>0</v>
      </c>
      <c r="AY49" s="230">
        <f t="shared" si="57"/>
        <v>0</v>
      </c>
      <c r="AZ49" s="230">
        <f>IF(AND(SUM($AQ$16:AQ48)&gt;0,SUM($AZ$16:AZ48)&lt;$P$62,$W49&gt;=$P$65),$P$64,0)</f>
        <v>0</v>
      </c>
      <c r="BA49" s="230">
        <f>IF(SUM($AQ$17:$AQ48)&gt;0,($P$62-SUM($AZ$17:$AZ48))*$F$65,0)</f>
        <v>0</v>
      </c>
      <c r="BB49" s="231">
        <f t="shared" si="58"/>
        <v>0</v>
      </c>
      <c r="BC49" s="228">
        <f t="shared" si="59"/>
        <v>0</v>
      </c>
      <c r="BD49" s="229">
        <f t="shared" si="60"/>
        <v>0</v>
      </c>
      <c r="BE49" s="49"/>
      <c r="BF49" s="47">
        <f t="shared" si="35"/>
        <v>0.32650787839359924</v>
      </c>
      <c r="BH49" s="227">
        <f t="shared" si="61"/>
        <v>0</v>
      </c>
      <c r="BI49" s="227">
        <f t="shared" si="62"/>
        <v>0</v>
      </c>
      <c r="BJ49" s="228">
        <f t="shared" si="63"/>
        <v>0</v>
      </c>
      <c r="BK49" s="228">
        <f t="shared" si="64"/>
        <v>0</v>
      </c>
      <c r="BL49" s="228">
        <f t="shared" si="65"/>
        <v>0</v>
      </c>
      <c r="BM49" s="230">
        <f t="shared" si="66"/>
        <v>0</v>
      </c>
      <c r="BN49" s="231">
        <f t="shared" si="67"/>
        <v>0</v>
      </c>
      <c r="BO49" s="228">
        <f t="shared" si="20"/>
        <v>0</v>
      </c>
      <c r="BP49" s="228">
        <f t="shared" si="68"/>
        <v>0</v>
      </c>
      <c r="BQ49" s="228">
        <f t="shared" si="22"/>
        <v>0</v>
      </c>
      <c r="BR49" s="228">
        <f t="shared" si="69"/>
        <v>0</v>
      </c>
      <c r="BS49" s="228">
        <f t="shared" si="41"/>
        <v>0</v>
      </c>
      <c r="BT49" s="228">
        <f t="shared" si="24"/>
        <v>0</v>
      </c>
      <c r="BU49" s="231">
        <f t="shared" si="70"/>
        <v>0</v>
      </c>
      <c r="BV49" s="231">
        <f t="shared" si="71"/>
        <v>0</v>
      </c>
      <c r="BW49" s="166"/>
      <c r="BX49" s="158">
        <f t="shared" si="43"/>
        <v>0</v>
      </c>
      <c r="BY49" s="286">
        <f t="shared" si="44"/>
        <v>0</v>
      </c>
    </row>
    <row r="50" spans="1:77" ht="15.75" customHeight="1" thickBot="1">
      <c r="C50" s="56" t="s">
        <v>115</v>
      </c>
      <c r="D50" t="s">
        <v>6</v>
      </c>
      <c r="F50" s="268">
        <v>0.95</v>
      </c>
      <c r="H50" s="56" t="s">
        <v>108</v>
      </c>
      <c r="M50" t="s">
        <v>171</v>
      </c>
      <c r="N50" s="19" t="s">
        <v>8</v>
      </c>
      <c r="O50" s="122"/>
      <c r="P50" s="123">
        <f>SUM(P84,P88)+P93</f>
        <v>0.18</v>
      </c>
      <c r="Q50" t="s">
        <v>172</v>
      </c>
      <c r="V50" s="58">
        <f t="shared" si="45"/>
        <v>57800</v>
      </c>
      <c r="W50" s="26">
        <v>34</v>
      </c>
      <c r="X50" s="282" t="str">
        <f t="shared" si="27"/>
        <v>-</v>
      </c>
      <c r="Y50" s="239">
        <f t="shared" si="0"/>
        <v>0</v>
      </c>
      <c r="Z50" s="230">
        <f t="shared" si="1"/>
        <v>0</v>
      </c>
      <c r="AA50" s="230">
        <f t="shared" si="2"/>
        <v>0</v>
      </c>
      <c r="AB50" s="230">
        <f t="shared" si="46"/>
        <v>0</v>
      </c>
      <c r="AC50" s="231">
        <f t="shared" si="47"/>
        <v>0</v>
      </c>
      <c r="AD50" s="239">
        <f t="shared" si="4"/>
        <v>0</v>
      </c>
      <c r="AE50" s="230">
        <f t="shared" si="5"/>
        <v>0</v>
      </c>
      <c r="AF50" s="230">
        <f t="shared" si="48"/>
        <v>0</v>
      </c>
      <c r="AG50" s="230">
        <f>IF(AND(SUM($AA$16:AA49)&gt;0,SUM($AG$16:AG49)&lt;$O$62,$W50&gt;=$O$65),$O$64,0)</f>
        <v>0</v>
      </c>
      <c r="AH50" s="228">
        <f>IF(SUM($AA$17:$AA49)&gt;0,($O$62-SUM($AG$17:$AG49))*$E$65,0)</f>
        <v>0</v>
      </c>
      <c r="AI50" s="231">
        <f t="shared" si="49"/>
        <v>0</v>
      </c>
      <c r="AJ50" s="228">
        <f t="shared" si="50"/>
        <v>0</v>
      </c>
      <c r="AK50" s="253">
        <f>(SUM($P$31,$P$51)-SUM($AU$17:AU49))*$O$109</f>
        <v>3.2969182939268646E-15</v>
      </c>
      <c r="AL50" s="255"/>
      <c r="AM50" s="229">
        <f t="shared" si="51"/>
        <v>0</v>
      </c>
      <c r="AN50" s="164"/>
      <c r="AO50" s="227">
        <f t="shared" si="9"/>
        <v>0</v>
      </c>
      <c r="AP50" s="228">
        <f t="shared" si="10"/>
        <v>0</v>
      </c>
      <c r="AQ50" s="228">
        <f t="shared" si="11"/>
        <v>0</v>
      </c>
      <c r="AR50" s="230">
        <f t="shared" si="12"/>
        <v>0</v>
      </c>
      <c r="AS50" s="231">
        <f t="shared" si="52"/>
        <v>0</v>
      </c>
      <c r="AT50" s="230">
        <f t="shared" si="53"/>
        <v>0</v>
      </c>
      <c r="AU50" s="230">
        <f t="shared" si="54"/>
        <v>0</v>
      </c>
      <c r="AV50" s="230">
        <f t="shared" si="55"/>
        <v>0</v>
      </c>
      <c r="AW50" s="230">
        <f t="shared" si="56"/>
        <v>0</v>
      </c>
      <c r="AX50" s="230">
        <f t="shared" si="32"/>
        <v>0</v>
      </c>
      <c r="AY50" s="230">
        <f t="shared" si="57"/>
        <v>0</v>
      </c>
      <c r="AZ50" s="230">
        <f>IF(AND(SUM($AQ$16:AQ49)&gt;0,SUM($AZ$16:AZ49)&lt;$P$62,$W50&gt;=$P$65),$P$64,0)</f>
        <v>0</v>
      </c>
      <c r="BA50" s="230">
        <f>IF(SUM($AQ$17:$AQ49)&gt;0,($P$62-SUM($AZ$17:$AZ49))*$F$65,0)</f>
        <v>0</v>
      </c>
      <c r="BB50" s="231">
        <f t="shared" si="58"/>
        <v>0</v>
      </c>
      <c r="BC50" s="228">
        <f t="shared" si="59"/>
        <v>0</v>
      </c>
      <c r="BD50" s="229">
        <f t="shared" si="60"/>
        <v>0</v>
      </c>
      <c r="BE50" s="49"/>
      <c r="BF50" s="47">
        <f t="shared" si="35"/>
        <v>0.31561902213011045</v>
      </c>
      <c r="BH50" s="227">
        <f t="shared" si="61"/>
        <v>0</v>
      </c>
      <c r="BI50" s="227">
        <f t="shared" si="62"/>
        <v>0</v>
      </c>
      <c r="BJ50" s="228">
        <f t="shared" si="63"/>
        <v>0</v>
      </c>
      <c r="BK50" s="228">
        <f t="shared" si="64"/>
        <v>0</v>
      </c>
      <c r="BL50" s="228">
        <f t="shared" si="65"/>
        <v>0</v>
      </c>
      <c r="BM50" s="230">
        <f t="shared" si="66"/>
        <v>0</v>
      </c>
      <c r="BN50" s="231">
        <f t="shared" si="67"/>
        <v>0</v>
      </c>
      <c r="BO50" s="228">
        <f t="shared" si="20"/>
        <v>0</v>
      </c>
      <c r="BP50" s="228">
        <f t="shared" si="68"/>
        <v>0</v>
      </c>
      <c r="BQ50" s="228">
        <f t="shared" si="22"/>
        <v>0</v>
      </c>
      <c r="BR50" s="228">
        <f t="shared" si="69"/>
        <v>0</v>
      </c>
      <c r="BS50" s="228">
        <f t="shared" si="41"/>
        <v>0</v>
      </c>
      <c r="BT50" s="228">
        <f t="shared" si="24"/>
        <v>0</v>
      </c>
      <c r="BU50" s="231">
        <f t="shared" si="70"/>
        <v>0</v>
      </c>
      <c r="BV50" s="231">
        <f t="shared" si="71"/>
        <v>0</v>
      </c>
      <c r="BW50" s="166"/>
      <c r="BX50" s="158">
        <f t="shared" si="43"/>
        <v>0</v>
      </c>
      <c r="BY50" s="286">
        <f t="shared" si="44"/>
        <v>0</v>
      </c>
    </row>
    <row r="51" spans="1:77" ht="15.75" customHeight="1" thickBot="1">
      <c r="B51" s="56"/>
      <c r="C51" s="56" t="s">
        <v>116</v>
      </c>
      <c r="D51" t="s">
        <v>6</v>
      </c>
      <c r="F51" s="199">
        <f>事業費用概算!I32</f>
        <v>0.2</v>
      </c>
      <c r="K51" s="124" t="s">
        <v>176</v>
      </c>
      <c r="L51" s="125"/>
      <c r="M51" s="125"/>
      <c r="N51" s="126" t="s">
        <v>8</v>
      </c>
      <c r="O51" s="127"/>
      <c r="P51" s="128">
        <f>SUM(P48:P49)*$F$47</f>
        <v>136</v>
      </c>
      <c r="Q51" t="s">
        <v>166</v>
      </c>
      <c r="V51" s="58">
        <f t="shared" si="45"/>
        <v>58165</v>
      </c>
      <c r="W51" s="26">
        <v>35</v>
      </c>
      <c r="X51" s="282" t="str">
        <f t="shared" si="27"/>
        <v>-</v>
      </c>
      <c r="Y51" s="239">
        <f t="shared" si="0"/>
        <v>0</v>
      </c>
      <c r="Z51" s="230">
        <f t="shared" si="1"/>
        <v>0</v>
      </c>
      <c r="AA51" s="230">
        <f t="shared" si="2"/>
        <v>0</v>
      </c>
      <c r="AB51" s="230">
        <f t="shared" si="46"/>
        <v>0</v>
      </c>
      <c r="AC51" s="231">
        <f t="shared" si="47"/>
        <v>0</v>
      </c>
      <c r="AD51" s="239">
        <f t="shared" si="4"/>
        <v>0</v>
      </c>
      <c r="AE51" s="230">
        <f t="shared" si="5"/>
        <v>0</v>
      </c>
      <c r="AF51" s="230">
        <f t="shared" si="48"/>
        <v>0</v>
      </c>
      <c r="AG51" s="230">
        <f>IF(AND(SUM($AA$16:AA50)&gt;0,SUM($AG$16:AG50)&lt;$O$62,$W51&gt;=$O$65),$O$64,0)</f>
        <v>0</v>
      </c>
      <c r="AH51" s="228">
        <f>IF(SUM($AA$17:$AA50)&gt;0,($O$62-SUM($AG$17:$AG50))*$E$65,0)</f>
        <v>0</v>
      </c>
      <c r="AI51" s="231">
        <f t="shared" si="49"/>
        <v>0</v>
      </c>
      <c r="AJ51" s="228">
        <f t="shared" si="50"/>
        <v>0</v>
      </c>
      <c r="AK51" s="253">
        <f>(SUM($P$31,$P$51)-SUM($AU$17:AU50))*$O$109</f>
        <v>3.2969182939268646E-15</v>
      </c>
      <c r="AL51" s="255"/>
      <c r="AM51" s="229">
        <f t="shared" si="51"/>
        <v>0</v>
      </c>
      <c r="AN51" s="164"/>
      <c r="AO51" s="227">
        <f t="shared" si="9"/>
        <v>0</v>
      </c>
      <c r="AP51" s="228">
        <f t="shared" si="10"/>
        <v>0</v>
      </c>
      <c r="AQ51" s="228">
        <f t="shared" si="11"/>
        <v>0</v>
      </c>
      <c r="AR51" s="230">
        <f t="shared" si="12"/>
        <v>0</v>
      </c>
      <c r="AS51" s="231">
        <f t="shared" si="52"/>
        <v>0</v>
      </c>
      <c r="AT51" s="230">
        <f t="shared" si="53"/>
        <v>0</v>
      </c>
      <c r="AU51" s="230">
        <f t="shared" si="54"/>
        <v>0</v>
      </c>
      <c r="AV51" s="230">
        <f t="shared" si="55"/>
        <v>0</v>
      </c>
      <c r="AW51" s="230">
        <f t="shared" si="56"/>
        <v>0</v>
      </c>
      <c r="AX51" s="230">
        <f t="shared" si="32"/>
        <v>0</v>
      </c>
      <c r="AY51" s="230">
        <f t="shared" si="57"/>
        <v>0</v>
      </c>
      <c r="AZ51" s="230">
        <f>IF(AND(SUM($AQ$16:AQ50)&gt;0,SUM($AZ$16:AZ50)&lt;$P$62,$W51&gt;=$P$65),$P$64,0)</f>
        <v>0</v>
      </c>
      <c r="BA51" s="230">
        <f>IF(SUM($AQ$17:$AQ50)&gt;0,($P$62-SUM($AZ$17:$AZ50))*$F$65,0)</f>
        <v>0</v>
      </c>
      <c r="BB51" s="231">
        <f t="shared" si="58"/>
        <v>0</v>
      </c>
      <c r="BC51" s="228">
        <f t="shared" si="59"/>
        <v>0</v>
      </c>
      <c r="BD51" s="229">
        <f t="shared" si="60"/>
        <v>0</v>
      </c>
      <c r="BE51" s="49"/>
      <c r="BF51" s="47">
        <f t="shared" si="35"/>
        <v>0.30509330317072059</v>
      </c>
      <c r="BH51" s="227">
        <f t="shared" si="61"/>
        <v>0</v>
      </c>
      <c r="BI51" s="227">
        <f t="shared" si="62"/>
        <v>0</v>
      </c>
      <c r="BJ51" s="228">
        <f t="shared" si="63"/>
        <v>0</v>
      </c>
      <c r="BK51" s="228">
        <f t="shared" si="64"/>
        <v>0</v>
      </c>
      <c r="BL51" s="228">
        <f t="shared" si="65"/>
        <v>0</v>
      </c>
      <c r="BM51" s="230">
        <f t="shared" si="66"/>
        <v>0</v>
      </c>
      <c r="BN51" s="231">
        <f t="shared" si="67"/>
        <v>0</v>
      </c>
      <c r="BO51" s="228">
        <f t="shared" si="20"/>
        <v>0</v>
      </c>
      <c r="BP51" s="228">
        <f t="shared" si="68"/>
        <v>0</v>
      </c>
      <c r="BQ51" s="228">
        <f t="shared" si="22"/>
        <v>0</v>
      </c>
      <c r="BR51" s="228">
        <f t="shared" si="69"/>
        <v>0</v>
      </c>
      <c r="BS51" s="228">
        <f t="shared" si="41"/>
        <v>0</v>
      </c>
      <c r="BT51" s="228">
        <f t="shared" si="24"/>
        <v>0</v>
      </c>
      <c r="BU51" s="231">
        <f t="shared" si="70"/>
        <v>0</v>
      </c>
      <c r="BV51" s="231">
        <f t="shared" si="71"/>
        <v>0</v>
      </c>
      <c r="BW51" s="166"/>
      <c r="BX51" s="158">
        <f t="shared" si="43"/>
        <v>0</v>
      </c>
      <c r="BY51" s="286">
        <f t="shared" si="44"/>
        <v>0</v>
      </c>
    </row>
    <row r="52" spans="1:77" ht="15.75" customHeight="1">
      <c r="B52" s="56"/>
      <c r="C52" s="56" t="s">
        <v>117</v>
      </c>
      <c r="D52" t="s">
        <v>6</v>
      </c>
      <c r="F52" s="199">
        <f>事業費用概算!I33</f>
        <v>0.2</v>
      </c>
      <c r="M52" t="s">
        <v>165</v>
      </c>
      <c r="N52" s="19" t="s">
        <v>8</v>
      </c>
      <c r="O52" s="129"/>
      <c r="P52" s="130">
        <f>F105</f>
        <v>12</v>
      </c>
      <c r="V52" s="58">
        <f t="shared" si="45"/>
        <v>58531</v>
      </c>
      <c r="W52" s="26">
        <v>36</v>
      </c>
      <c r="X52" s="282" t="str">
        <f t="shared" si="27"/>
        <v>-</v>
      </c>
      <c r="Y52" s="239">
        <f t="shared" si="0"/>
        <v>0</v>
      </c>
      <c r="Z52" s="230">
        <f t="shared" si="1"/>
        <v>0</v>
      </c>
      <c r="AA52" s="230">
        <f t="shared" si="2"/>
        <v>0</v>
      </c>
      <c r="AB52" s="230">
        <f t="shared" si="46"/>
        <v>0</v>
      </c>
      <c r="AC52" s="231">
        <f t="shared" si="47"/>
        <v>0</v>
      </c>
      <c r="AD52" s="239">
        <f t="shared" si="4"/>
        <v>0</v>
      </c>
      <c r="AE52" s="230">
        <f t="shared" si="5"/>
        <v>0</v>
      </c>
      <c r="AF52" s="230">
        <f t="shared" si="48"/>
        <v>0</v>
      </c>
      <c r="AG52" s="230">
        <f>IF(AND(SUM($AA$16:AA51)&gt;0,SUM($AG$16:AG51)&lt;$O$62,$W52&gt;=$O$65),$O$64,0)</f>
        <v>0</v>
      </c>
      <c r="AH52" s="228">
        <f>IF(SUM($AA$17:$AA51)&gt;0,($O$62-SUM($AG$17:$AG51))*$E$65,0)</f>
        <v>0</v>
      </c>
      <c r="AI52" s="231">
        <f t="shared" si="49"/>
        <v>0</v>
      </c>
      <c r="AJ52" s="228">
        <f t="shared" si="50"/>
        <v>0</v>
      </c>
      <c r="AK52" s="253">
        <f>(SUM($P$31,$P$51)-SUM($AU$17:AU51))*$O$109</f>
        <v>3.2969182939268646E-15</v>
      </c>
      <c r="AL52" s="255"/>
      <c r="AM52" s="229">
        <f t="shared" si="51"/>
        <v>0</v>
      </c>
      <c r="AN52" s="164"/>
      <c r="AO52" s="227">
        <f t="shared" si="9"/>
        <v>0</v>
      </c>
      <c r="AP52" s="228">
        <f t="shared" si="10"/>
        <v>0</v>
      </c>
      <c r="AQ52" s="228">
        <f t="shared" si="11"/>
        <v>0</v>
      </c>
      <c r="AR52" s="230">
        <f t="shared" si="12"/>
        <v>0</v>
      </c>
      <c r="AS52" s="231">
        <f t="shared" si="52"/>
        <v>0</v>
      </c>
      <c r="AT52" s="230">
        <f t="shared" si="53"/>
        <v>0</v>
      </c>
      <c r="AU52" s="230">
        <f t="shared" si="54"/>
        <v>0</v>
      </c>
      <c r="AV52" s="230">
        <f t="shared" si="55"/>
        <v>0</v>
      </c>
      <c r="AW52" s="230">
        <f t="shared" si="56"/>
        <v>0</v>
      </c>
      <c r="AX52" s="230">
        <f t="shared" si="32"/>
        <v>0</v>
      </c>
      <c r="AY52" s="230">
        <f t="shared" si="57"/>
        <v>0</v>
      </c>
      <c r="AZ52" s="230">
        <f>IF(AND(SUM($AQ$16:AQ51)&gt;0,SUM($AZ$16:AZ51)&lt;$P$62,$W52&gt;=$P$65),$P$64,0)</f>
        <v>0</v>
      </c>
      <c r="BA52" s="230">
        <f>IF(SUM($AQ$17:$AQ51)&gt;0,($P$62-SUM($AZ$17:$AZ51))*$F$65,0)</f>
        <v>0</v>
      </c>
      <c r="BB52" s="231">
        <f t="shared" si="58"/>
        <v>0</v>
      </c>
      <c r="BC52" s="228">
        <f t="shared" si="59"/>
        <v>0</v>
      </c>
      <c r="BD52" s="229">
        <f t="shared" si="60"/>
        <v>0</v>
      </c>
      <c r="BE52" s="49"/>
      <c r="BF52" s="47">
        <f t="shared" si="35"/>
        <v>0.29491861108817846</v>
      </c>
      <c r="BH52" s="227">
        <f t="shared" si="61"/>
        <v>0</v>
      </c>
      <c r="BI52" s="227">
        <f t="shared" si="62"/>
        <v>0</v>
      </c>
      <c r="BJ52" s="228">
        <f t="shared" si="63"/>
        <v>0</v>
      </c>
      <c r="BK52" s="228">
        <f t="shared" si="64"/>
        <v>0</v>
      </c>
      <c r="BL52" s="228">
        <f t="shared" si="65"/>
        <v>0</v>
      </c>
      <c r="BM52" s="230">
        <f t="shared" si="66"/>
        <v>0</v>
      </c>
      <c r="BN52" s="231">
        <f t="shared" si="67"/>
        <v>0</v>
      </c>
      <c r="BO52" s="228">
        <f t="shared" si="20"/>
        <v>0</v>
      </c>
      <c r="BP52" s="228">
        <f t="shared" si="68"/>
        <v>0</v>
      </c>
      <c r="BQ52" s="228">
        <f t="shared" si="22"/>
        <v>0</v>
      </c>
      <c r="BR52" s="228">
        <f t="shared" si="69"/>
        <v>0</v>
      </c>
      <c r="BS52" s="228">
        <f t="shared" si="41"/>
        <v>0</v>
      </c>
      <c r="BT52" s="228">
        <f t="shared" si="24"/>
        <v>0</v>
      </c>
      <c r="BU52" s="231">
        <f t="shared" si="70"/>
        <v>0</v>
      </c>
      <c r="BV52" s="231">
        <f t="shared" si="71"/>
        <v>0</v>
      </c>
      <c r="BW52" s="166"/>
      <c r="BX52" s="158">
        <f t="shared" si="43"/>
        <v>0</v>
      </c>
      <c r="BY52" s="286">
        <f t="shared" si="44"/>
        <v>0</v>
      </c>
    </row>
    <row r="53" spans="1:77" ht="15.75" customHeight="1" thickBot="1">
      <c r="M53" t="s">
        <v>170</v>
      </c>
      <c r="N53" s="19" t="s">
        <v>8</v>
      </c>
      <c r="O53" s="129"/>
      <c r="P53" s="131">
        <f>P95</f>
        <v>0.18</v>
      </c>
      <c r="V53" s="58">
        <f t="shared" si="45"/>
        <v>58896</v>
      </c>
      <c r="W53" s="26">
        <v>37</v>
      </c>
      <c r="X53" s="282" t="str">
        <f t="shared" si="27"/>
        <v>-</v>
      </c>
      <c r="Y53" s="239">
        <f t="shared" si="0"/>
        <v>0</v>
      </c>
      <c r="Z53" s="230">
        <f t="shared" si="1"/>
        <v>0</v>
      </c>
      <c r="AA53" s="230">
        <f t="shared" si="2"/>
        <v>0</v>
      </c>
      <c r="AB53" s="230">
        <f t="shared" si="46"/>
        <v>0</v>
      </c>
      <c r="AC53" s="231">
        <f t="shared" si="47"/>
        <v>0</v>
      </c>
      <c r="AD53" s="239">
        <f t="shared" si="4"/>
        <v>0</v>
      </c>
      <c r="AE53" s="230">
        <f t="shared" si="5"/>
        <v>0</v>
      </c>
      <c r="AF53" s="230">
        <f t="shared" si="48"/>
        <v>0</v>
      </c>
      <c r="AG53" s="230">
        <f>IF(AND(SUM($AA$16:AA52)&gt;0,SUM($AG$16:AG52)&lt;$O$62,$W53&gt;=$O$65),$O$64,0)</f>
        <v>0</v>
      </c>
      <c r="AH53" s="228">
        <f>IF(SUM($AA$17:$AA52)&gt;0,($O$62-SUM($AG$17:$AG52))*$E$65,0)</f>
        <v>0</v>
      </c>
      <c r="AI53" s="231">
        <f t="shared" si="49"/>
        <v>0</v>
      </c>
      <c r="AJ53" s="228">
        <f t="shared" si="50"/>
        <v>0</v>
      </c>
      <c r="AK53" s="253">
        <f>(SUM($P$31,$P$51)-SUM($AU$17:AU52))*$O$109</f>
        <v>3.2969182939268646E-15</v>
      </c>
      <c r="AL53" s="255"/>
      <c r="AM53" s="229">
        <f t="shared" si="51"/>
        <v>0</v>
      </c>
      <c r="AN53" s="164"/>
      <c r="AO53" s="227">
        <f t="shared" si="9"/>
        <v>0</v>
      </c>
      <c r="AP53" s="228">
        <f t="shared" si="10"/>
        <v>0</v>
      </c>
      <c r="AQ53" s="228">
        <f t="shared" si="11"/>
        <v>0</v>
      </c>
      <c r="AR53" s="230">
        <f t="shared" si="12"/>
        <v>0</v>
      </c>
      <c r="AS53" s="231">
        <f t="shared" si="52"/>
        <v>0</v>
      </c>
      <c r="AT53" s="230">
        <f t="shared" si="53"/>
        <v>0</v>
      </c>
      <c r="AU53" s="230">
        <f t="shared" si="54"/>
        <v>0</v>
      </c>
      <c r="AV53" s="230">
        <f t="shared" si="55"/>
        <v>0</v>
      </c>
      <c r="AW53" s="230">
        <f t="shared" si="56"/>
        <v>0</v>
      </c>
      <c r="AX53" s="230">
        <f t="shared" si="32"/>
        <v>0</v>
      </c>
      <c r="AY53" s="230">
        <f t="shared" si="57"/>
        <v>0</v>
      </c>
      <c r="AZ53" s="230">
        <f>IF(AND(SUM($AQ$16:AQ52)&gt;0,SUM($AZ$16:AZ52)&lt;$P$62,$W53&gt;=$P$65),$P$64,0)</f>
        <v>0</v>
      </c>
      <c r="BA53" s="230">
        <f>IF(SUM($AQ$17:$AQ52)&gt;0,($P$62-SUM($AZ$17:$AZ52))*$F$65,0)</f>
        <v>0</v>
      </c>
      <c r="BB53" s="231">
        <f t="shared" si="58"/>
        <v>0</v>
      </c>
      <c r="BC53" s="228">
        <f t="shared" si="59"/>
        <v>0</v>
      </c>
      <c r="BD53" s="229">
        <f t="shared" si="60"/>
        <v>0</v>
      </c>
      <c r="BE53" s="49"/>
      <c r="BF53" s="47">
        <f t="shared" si="35"/>
        <v>0.28508323933125035</v>
      </c>
      <c r="BH53" s="227">
        <f t="shared" si="61"/>
        <v>0</v>
      </c>
      <c r="BI53" s="227">
        <f t="shared" si="62"/>
        <v>0</v>
      </c>
      <c r="BJ53" s="228">
        <f t="shared" si="63"/>
        <v>0</v>
      </c>
      <c r="BK53" s="228">
        <f t="shared" si="64"/>
        <v>0</v>
      </c>
      <c r="BL53" s="228">
        <f t="shared" si="65"/>
        <v>0</v>
      </c>
      <c r="BM53" s="230">
        <f t="shared" si="66"/>
        <v>0</v>
      </c>
      <c r="BN53" s="231">
        <f t="shared" si="67"/>
        <v>0</v>
      </c>
      <c r="BO53" s="228">
        <f t="shared" si="20"/>
        <v>0</v>
      </c>
      <c r="BP53" s="228">
        <f t="shared" si="68"/>
        <v>0</v>
      </c>
      <c r="BQ53" s="228">
        <f t="shared" si="22"/>
        <v>0</v>
      </c>
      <c r="BR53" s="228">
        <f t="shared" si="69"/>
        <v>0</v>
      </c>
      <c r="BS53" s="228">
        <f t="shared" si="41"/>
        <v>0</v>
      </c>
      <c r="BT53" s="228">
        <f t="shared" si="24"/>
        <v>0</v>
      </c>
      <c r="BU53" s="231">
        <f t="shared" si="70"/>
        <v>0</v>
      </c>
      <c r="BV53" s="231">
        <f t="shared" si="71"/>
        <v>0</v>
      </c>
      <c r="BW53" s="166"/>
      <c r="BX53" s="158">
        <f t="shared" si="43"/>
        <v>0</v>
      </c>
      <c r="BY53" s="286">
        <f t="shared" si="44"/>
        <v>0</v>
      </c>
    </row>
    <row r="54" spans="1:77" ht="15.75" customHeight="1" thickBot="1">
      <c r="A54" s="4" t="s">
        <v>119</v>
      </c>
      <c r="K54" s="124" t="s">
        <v>177</v>
      </c>
      <c r="L54" s="125"/>
      <c r="M54" s="125"/>
      <c r="N54" s="126" t="s">
        <v>8</v>
      </c>
      <c r="O54" s="127"/>
      <c r="P54" s="128">
        <f>SUM(P52:P53)*$F$47</f>
        <v>12.18</v>
      </c>
      <c r="Q54" t="s">
        <v>167</v>
      </c>
      <c r="V54" s="58">
        <f t="shared" si="45"/>
        <v>59261</v>
      </c>
      <c r="W54" s="26">
        <v>38</v>
      </c>
      <c r="X54" s="282" t="str">
        <f t="shared" si="27"/>
        <v>-</v>
      </c>
      <c r="Y54" s="239">
        <f t="shared" si="0"/>
        <v>0</v>
      </c>
      <c r="Z54" s="230">
        <f t="shared" si="1"/>
        <v>0</v>
      </c>
      <c r="AA54" s="230">
        <f t="shared" si="2"/>
        <v>0</v>
      </c>
      <c r="AB54" s="230">
        <f t="shared" si="46"/>
        <v>0</v>
      </c>
      <c r="AC54" s="231">
        <f t="shared" si="47"/>
        <v>0</v>
      </c>
      <c r="AD54" s="239">
        <f t="shared" si="4"/>
        <v>0</v>
      </c>
      <c r="AE54" s="230">
        <f t="shared" si="5"/>
        <v>0</v>
      </c>
      <c r="AF54" s="230">
        <f t="shared" si="48"/>
        <v>0</v>
      </c>
      <c r="AG54" s="230">
        <f>IF(AND(SUM($AA$16:AA53)&gt;0,SUM($AG$16:AG53)&lt;$O$62,$W54&gt;=$O$65),$O$64,0)</f>
        <v>0</v>
      </c>
      <c r="AH54" s="228">
        <f>IF(SUM($AA$17:$AA53)&gt;0,($O$62-SUM($AG$17:$AG53))*$E$65,0)</f>
        <v>0</v>
      </c>
      <c r="AI54" s="231">
        <f t="shared" si="49"/>
        <v>0</v>
      </c>
      <c r="AJ54" s="228">
        <f t="shared" si="50"/>
        <v>0</v>
      </c>
      <c r="AK54" s="253">
        <f>(SUM($P$31,$P$51)-SUM($AU$17:AU53))*$O$109</f>
        <v>3.2969182939268646E-15</v>
      </c>
      <c r="AL54" s="255"/>
      <c r="AM54" s="229">
        <f t="shared" si="51"/>
        <v>0</v>
      </c>
      <c r="AN54" s="164"/>
      <c r="AO54" s="227">
        <f t="shared" si="9"/>
        <v>0</v>
      </c>
      <c r="AP54" s="228">
        <f t="shared" si="10"/>
        <v>0</v>
      </c>
      <c r="AQ54" s="228">
        <f t="shared" si="11"/>
        <v>0</v>
      </c>
      <c r="AR54" s="230">
        <f t="shared" si="12"/>
        <v>0</v>
      </c>
      <c r="AS54" s="231">
        <f t="shared" si="52"/>
        <v>0</v>
      </c>
      <c r="AT54" s="230">
        <f t="shared" si="53"/>
        <v>0</v>
      </c>
      <c r="AU54" s="230">
        <f t="shared" si="54"/>
        <v>0</v>
      </c>
      <c r="AV54" s="230">
        <f t="shared" si="55"/>
        <v>0</v>
      </c>
      <c r="AW54" s="230">
        <f t="shared" si="56"/>
        <v>0</v>
      </c>
      <c r="AX54" s="230">
        <f t="shared" si="32"/>
        <v>0</v>
      </c>
      <c r="AY54" s="230">
        <f t="shared" si="57"/>
        <v>0</v>
      </c>
      <c r="AZ54" s="230">
        <f>IF(AND(SUM($AQ$16:AQ53)&gt;0,SUM($AZ$16:AZ53)&lt;$P$62,$W54&gt;=$P$65),$P$64,0)</f>
        <v>0</v>
      </c>
      <c r="BA54" s="230">
        <f>IF(SUM($AQ$17:$AQ53)&gt;0,($P$62-SUM($AZ$17:$AZ53))*$F$65,0)</f>
        <v>0</v>
      </c>
      <c r="BB54" s="231">
        <f t="shared" si="58"/>
        <v>0</v>
      </c>
      <c r="BC54" s="228">
        <f t="shared" si="59"/>
        <v>0</v>
      </c>
      <c r="BD54" s="229">
        <f t="shared" si="60"/>
        <v>0</v>
      </c>
      <c r="BE54" s="49"/>
      <c r="BF54" s="47">
        <f t="shared" si="35"/>
        <v>0.27557587175567944</v>
      </c>
      <c r="BH54" s="227">
        <f t="shared" si="61"/>
        <v>0</v>
      </c>
      <c r="BI54" s="227">
        <f t="shared" si="62"/>
        <v>0</v>
      </c>
      <c r="BJ54" s="228">
        <f t="shared" si="63"/>
        <v>0</v>
      </c>
      <c r="BK54" s="228">
        <f t="shared" si="64"/>
        <v>0</v>
      </c>
      <c r="BL54" s="228">
        <f t="shared" si="65"/>
        <v>0</v>
      </c>
      <c r="BM54" s="230">
        <f t="shared" si="66"/>
        <v>0</v>
      </c>
      <c r="BN54" s="231">
        <f t="shared" si="67"/>
        <v>0</v>
      </c>
      <c r="BO54" s="228">
        <f t="shared" si="20"/>
        <v>0</v>
      </c>
      <c r="BP54" s="228">
        <f t="shared" si="68"/>
        <v>0</v>
      </c>
      <c r="BQ54" s="228">
        <f t="shared" si="22"/>
        <v>0</v>
      </c>
      <c r="BR54" s="228">
        <f t="shared" si="69"/>
        <v>0</v>
      </c>
      <c r="BS54" s="228">
        <f t="shared" si="41"/>
        <v>0</v>
      </c>
      <c r="BT54" s="228">
        <f t="shared" si="24"/>
        <v>0</v>
      </c>
      <c r="BU54" s="231">
        <f t="shared" si="70"/>
        <v>0</v>
      </c>
      <c r="BV54" s="231">
        <f t="shared" si="71"/>
        <v>0</v>
      </c>
      <c r="BW54" s="166"/>
      <c r="BX54" s="158">
        <f t="shared" si="43"/>
        <v>0</v>
      </c>
      <c r="BY54" s="286">
        <f t="shared" si="44"/>
        <v>0</v>
      </c>
    </row>
    <row r="55" spans="1:77" ht="15.75" customHeight="1">
      <c r="V55" s="58">
        <f t="shared" ref="V55:V56" si="72">IF(W55=1,DATE(YEAR($F$18)+(MONTH($F$18)&gt;=4),4,0),EOMONTH(V54,12))</f>
        <v>59626</v>
      </c>
      <c r="W55" s="26">
        <v>39</v>
      </c>
      <c r="X55" s="282" t="str">
        <f t="shared" si="27"/>
        <v>-</v>
      </c>
      <c r="Y55" s="239">
        <f t="shared" si="0"/>
        <v>0</v>
      </c>
      <c r="Z55" s="230">
        <f t="shared" si="1"/>
        <v>0</v>
      </c>
      <c r="AA55" s="230">
        <f t="shared" si="2"/>
        <v>0</v>
      </c>
      <c r="AB55" s="230">
        <f t="shared" ref="AB55:AB56" si="73">IF(X55="維持管理・運営期間",$F$56,0)</f>
        <v>0</v>
      </c>
      <c r="AC55" s="231">
        <f t="shared" ref="AC55:AC56" si="74">SUM(Y55:Z55,AB55)</f>
        <v>0</v>
      </c>
      <c r="AD55" s="239">
        <f t="shared" si="4"/>
        <v>0</v>
      </c>
      <c r="AE55" s="230">
        <f t="shared" si="5"/>
        <v>0</v>
      </c>
      <c r="AF55" s="230">
        <f t="shared" si="48"/>
        <v>0</v>
      </c>
      <c r="AG55" s="230">
        <f>IF(AND(SUM($AA$16:AA54)&gt;0,SUM($AG$16:AG54)&lt;$O$62,$W55&gt;=$O$65),$O$64,0)</f>
        <v>0</v>
      </c>
      <c r="AH55" s="228">
        <f>IF(SUM($AA$17:$AA54)&gt;0,($O$62-SUM($AG$17:$AG54))*$E$65,0)</f>
        <v>0</v>
      </c>
      <c r="AI55" s="231">
        <f t="shared" ref="AI55:AI56" si="75">SUM(AD55:AF55)</f>
        <v>0</v>
      </c>
      <c r="AJ55" s="228">
        <f t="shared" ref="AJ55:AJ56" si="76">AC55-AI55</f>
        <v>0</v>
      </c>
      <c r="AK55" s="253">
        <f>(SUM($P$31,$P$51)-SUM($AU$17:AU54))*$O$109</f>
        <v>3.2969182939268646E-15</v>
      </c>
      <c r="AL55" s="255"/>
      <c r="AM55" s="229">
        <f t="shared" ref="AM55:AM56" si="77">AJ55*$BF55</f>
        <v>0</v>
      </c>
      <c r="AN55" s="164"/>
      <c r="AO55" s="227">
        <f t="shared" si="9"/>
        <v>0</v>
      </c>
      <c r="AP55" s="228">
        <f t="shared" si="10"/>
        <v>0</v>
      </c>
      <c r="AQ55" s="228">
        <f t="shared" si="11"/>
        <v>0</v>
      </c>
      <c r="AR55" s="230">
        <f t="shared" si="12"/>
        <v>0</v>
      </c>
      <c r="AS55" s="231">
        <f t="shared" ref="AS55:AS56" si="78">SUM(AO55:AP55,AR55)</f>
        <v>0</v>
      </c>
      <c r="AT55" s="230">
        <f t="shared" ref="AT55:AT56" si="79">IF(W55=$F$16,$P$30,0)</f>
        <v>0</v>
      </c>
      <c r="AU55" s="230">
        <f t="shared" ref="AU55:AU56" si="80">IFERROR(-PPMT($P$36,W55-$F$16,$F$17,SUM(P$31,P$51)),0)</f>
        <v>0</v>
      </c>
      <c r="AV55" s="230">
        <f t="shared" ref="AV55:AV56" si="81">IFERROR(-IPMT($P$36,W55-$F$16,$F$17,SUM($P$31,$P$51)),0)</f>
        <v>0</v>
      </c>
      <c r="AW55" s="230">
        <f t="shared" ref="AW55:AW56" si="82">IF(AND(W55&gt;$F$16,W55&lt;=SUM($F$16:$F$17)),$P$43,0)</f>
        <v>0</v>
      </c>
      <c r="AX55" s="230">
        <f t="shared" si="32"/>
        <v>0</v>
      </c>
      <c r="AY55" s="230">
        <f t="shared" ref="AY55:AY56" si="83">IF(AND(W55&gt;$F$16,W55&lt;=SUM($F$16:$F$17)),$P$54,0)</f>
        <v>0</v>
      </c>
      <c r="AZ55" s="230">
        <f>IF(AND(SUM($AQ$16:AQ54)&gt;0,SUM($AZ$16:AZ54)&lt;$P$62,$W55&gt;=$P$65),$P$64,0)</f>
        <v>0</v>
      </c>
      <c r="BA55" s="230">
        <f>IF(SUM($AQ$17:$AQ54)&gt;0,($P$62-SUM($AZ$17:$AZ54))*$F$65,0)</f>
        <v>0</v>
      </c>
      <c r="BB55" s="231">
        <f t="shared" ref="BB55:BB56" si="84">SUM(AT55:AY55)</f>
        <v>0</v>
      </c>
      <c r="BC55" s="228">
        <f t="shared" ref="BC55:BC56" si="85">AS55-BB55</f>
        <v>0</v>
      </c>
      <c r="BD55" s="229">
        <f t="shared" ref="BD55:BD56" si="86">BC55*$BF55</f>
        <v>0</v>
      </c>
      <c r="BE55" s="49"/>
      <c r="BF55" s="47">
        <f t="shared" si="35"/>
        <v>0.26638556960433007</v>
      </c>
      <c r="BH55" s="227">
        <f t="shared" ref="BH55:BH56" si="87">AT55</f>
        <v>0</v>
      </c>
      <c r="BI55" s="227">
        <f t="shared" ref="BI55:BI56" si="88">AU55</f>
        <v>0</v>
      </c>
      <c r="BJ55" s="228">
        <f t="shared" ref="BJ55:BJ56" si="89">AV55</f>
        <v>0</v>
      </c>
      <c r="BK55" s="228">
        <f t="shared" ref="BK55:BK56" si="90">AW55</f>
        <v>0</v>
      </c>
      <c r="BL55" s="228">
        <f t="shared" ref="BL55:BL56" si="91">AY55</f>
        <v>0</v>
      </c>
      <c r="BM55" s="230">
        <f t="shared" si="66"/>
        <v>0</v>
      </c>
      <c r="BN55" s="231">
        <f t="shared" ref="BN55:BN56" si="92">SUM(BH55:BM55)</f>
        <v>0</v>
      </c>
      <c r="BO55" s="228">
        <f t="shared" si="20"/>
        <v>0</v>
      </c>
      <c r="BP55" s="228">
        <f t="shared" ref="BP55:BP56" si="93">IF(AND(W55&gt;$F$16,W55&lt;=SUM($F$16:$F$17)),$P$41,0)</f>
        <v>0</v>
      </c>
      <c r="BQ55" s="228">
        <f t="shared" si="22"/>
        <v>0</v>
      </c>
      <c r="BR55" s="228">
        <f t="shared" si="69"/>
        <v>0</v>
      </c>
      <c r="BS55" s="228">
        <f t="shared" si="41"/>
        <v>0</v>
      </c>
      <c r="BT55" s="228">
        <f t="shared" si="24"/>
        <v>0</v>
      </c>
      <c r="BU55" s="231">
        <f t="shared" ref="BU55:BU56" si="94">SUM(BO55:BP55,BR55:BT55)</f>
        <v>0</v>
      </c>
      <c r="BV55" s="231">
        <f t="shared" ref="BV55:BV56" si="95">BN55-BU55</f>
        <v>0</v>
      </c>
      <c r="BW55" s="166"/>
      <c r="BX55" s="158">
        <f t="shared" si="43"/>
        <v>0</v>
      </c>
      <c r="BY55" s="286">
        <f t="shared" si="44"/>
        <v>0</v>
      </c>
    </row>
    <row r="56" spans="1:77" ht="15.75" customHeight="1">
      <c r="C56" s="56" t="s">
        <v>77</v>
      </c>
      <c r="D56" t="s">
        <v>8</v>
      </c>
      <c r="F56" s="1">
        <v>0</v>
      </c>
      <c r="V56" s="58">
        <f t="shared" si="72"/>
        <v>59992</v>
      </c>
      <c r="W56" s="26">
        <v>40</v>
      </c>
      <c r="X56" s="282" t="str">
        <f t="shared" si="27"/>
        <v>-</v>
      </c>
      <c r="Y56" s="239">
        <f t="shared" si="0"/>
        <v>0</v>
      </c>
      <c r="Z56" s="230">
        <f t="shared" si="1"/>
        <v>0</v>
      </c>
      <c r="AA56" s="230">
        <f t="shared" si="2"/>
        <v>0</v>
      </c>
      <c r="AB56" s="230">
        <f t="shared" si="73"/>
        <v>0</v>
      </c>
      <c r="AC56" s="231">
        <f t="shared" si="74"/>
        <v>0</v>
      </c>
      <c r="AD56" s="239">
        <f t="shared" si="4"/>
        <v>0</v>
      </c>
      <c r="AE56" s="230">
        <f t="shared" si="5"/>
        <v>0</v>
      </c>
      <c r="AF56" s="230">
        <f t="shared" si="48"/>
        <v>0</v>
      </c>
      <c r="AG56" s="230">
        <f>IF(AND(SUM($AA$16:AA55)&gt;0,SUM($AG$16:AG55)&lt;$O$62,$W56&gt;=$O$65),$O$64,0)</f>
        <v>0</v>
      </c>
      <c r="AH56" s="228">
        <f>IF(SUM($AA$17:$AA55)&gt;0,($O$62-SUM($AG$17:$AG55))*$E$65,0)</f>
        <v>0</v>
      </c>
      <c r="AI56" s="231">
        <f t="shared" si="75"/>
        <v>0</v>
      </c>
      <c r="AJ56" s="228">
        <f t="shared" si="76"/>
        <v>0</v>
      </c>
      <c r="AK56" s="253">
        <f>(SUM($P$31,$P$51)-SUM($AU$17:AU55))*$O$109</f>
        <v>3.2969182939268646E-15</v>
      </c>
      <c r="AL56" s="255"/>
      <c r="AM56" s="229">
        <f t="shared" si="77"/>
        <v>0</v>
      </c>
      <c r="AN56" s="164"/>
      <c r="AO56" s="227">
        <f t="shared" si="9"/>
        <v>0</v>
      </c>
      <c r="AP56" s="228">
        <f t="shared" si="10"/>
        <v>0</v>
      </c>
      <c r="AQ56" s="228">
        <f t="shared" si="11"/>
        <v>0</v>
      </c>
      <c r="AR56" s="230">
        <f t="shared" si="12"/>
        <v>0</v>
      </c>
      <c r="AS56" s="231">
        <f t="shared" si="78"/>
        <v>0</v>
      </c>
      <c r="AT56" s="230">
        <f t="shared" si="79"/>
        <v>0</v>
      </c>
      <c r="AU56" s="230">
        <f t="shared" si="80"/>
        <v>0</v>
      </c>
      <c r="AV56" s="230">
        <f t="shared" si="81"/>
        <v>0</v>
      </c>
      <c r="AW56" s="230">
        <f t="shared" si="82"/>
        <v>0</v>
      </c>
      <c r="AX56" s="230">
        <f t="shared" si="32"/>
        <v>0</v>
      </c>
      <c r="AY56" s="230">
        <f t="shared" si="83"/>
        <v>0</v>
      </c>
      <c r="AZ56" s="230">
        <f>IF(AND(SUM($AQ$16:AQ55)&gt;0,SUM($AZ$16:AZ55)&lt;$P$62,$W56&gt;=$P$65),$P$64,0)</f>
        <v>0</v>
      </c>
      <c r="BA56" s="230">
        <f>IF(SUM($AQ$17:$AQ55)&gt;0,($P$62-SUM($AZ$17:$AZ55))*$F$65,0)</f>
        <v>0</v>
      </c>
      <c r="BB56" s="231">
        <f t="shared" si="84"/>
        <v>0</v>
      </c>
      <c r="BC56" s="228">
        <f t="shared" si="85"/>
        <v>0</v>
      </c>
      <c r="BD56" s="229">
        <f t="shared" si="86"/>
        <v>0</v>
      </c>
      <c r="BE56" s="49"/>
      <c r="BF56" s="47">
        <f t="shared" si="35"/>
        <v>0.25750175892153704</v>
      </c>
      <c r="BH56" s="227">
        <f t="shared" si="87"/>
        <v>0</v>
      </c>
      <c r="BI56" s="227">
        <f t="shared" si="88"/>
        <v>0</v>
      </c>
      <c r="BJ56" s="228">
        <f t="shared" si="89"/>
        <v>0</v>
      </c>
      <c r="BK56" s="228">
        <f t="shared" si="90"/>
        <v>0</v>
      </c>
      <c r="BL56" s="228">
        <f t="shared" si="91"/>
        <v>0</v>
      </c>
      <c r="BM56" s="230">
        <f t="shared" si="66"/>
        <v>0</v>
      </c>
      <c r="BN56" s="231">
        <f t="shared" si="92"/>
        <v>0</v>
      </c>
      <c r="BO56" s="228">
        <f t="shared" si="20"/>
        <v>0</v>
      </c>
      <c r="BP56" s="228">
        <f t="shared" si="93"/>
        <v>0</v>
      </c>
      <c r="BQ56" s="228">
        <f t="shared" si="22"/>
        <v>0</v>
      </c>
      <c r="BR56" s="228">
        <f t="shared" si="69"/>
        <v>0</v>
      </c>
      <c r="BS56" s="228">
        <f t="shared" si="41"/>
        <v>0</v>
      </c>
      <c r="BT56" s="228">
        <f t="shared" si="24"/>
        <v>0</v>
      </c>
      <c r="BU56" s="231">
        <f t="shared" si="94"/>
        <v>0</v>
      </c>
      <c r="BV56" s="231">
        <f t="shared" si="95"/>
        <v>0</v>
      </c>
      <c r="BW56" s="166"/>
      <c r="BX56" s="158">
        <f t="shared" si="43"/>
        <v>0</v>
      </c>
      <c r="BY56" s="286">
        <f t="shared" si="44"/>
        <v>0</v>
      </c>
    </row>
    <row r="57" spans="1:77" ht="15.75" customHeight="1" thickBot="1">
      <c r="V57" s="19"/>
      <c r="Y57" s="256"/>
      <c r="Z57" s="256"/>
      <c r="AA57" s="232"/>
      <c r="AB57" s="232"/>
      <c r="AC57" s="232"/>
      <c r="AD57" s="232"/>
      <c r="AE57" s="232"/>
      <c r="AF57" s="232"/>
      <c r="AG57" s="230"/>
      <c r="AH57" s="228"/>
      <c r="AI57" s="232"/>
      <c r="AJ57" s="232"/>
      <c r="AK57" s="232"/>
      <c r="AL57" s="232"/>
      <c r="AM57" s="232"/>
      <c r="AN57" s="166"/>
      <c r="AO57" s="232"/>
      <c r="AP57" s="232"/>
      <c r="AQ57" s="232"/>
      <c r="AR57" s="232"/>
      <c r="AS57" s="232"/>
      <c r="AT57" s="232"/>
      <c r="AU57" s="232"/>
      <c r="AV57" s="232"/>
      <c r="AW57" s="232"/>
      <c r="AX57" s="232"/>
      <c r="AY57" s="232"/>
      <c r="AZ57" s="232"/>
      <c r="BA57" s="232"/>
      <c r="BB57" s="232"/>
      <c r="BC57" s="232"/>
      <c r="BD57" s="232"/>
      <c r="BH57" s="232"/>
      <c r="BI57" s="232"/>
      <c r="BJ57" s="232"/>
      <c r="BK57" s="232"/>
      <c r="BL57" s="232"/>
      <c r="BM57" s="232"/>
      <c r="BN57" s="232"/>
      <c r="BO57" s="232"/>
      <c r="BP57" s="232"/>
      <c r="BQ57" s="232"/>
      <c r="BR57" s="232"/>
      <c r="BS57" s="232"/>
      <c r="BT57" s="232"/>
      <c r="BU57" s="232"/>
      <c r="BV57" s="232"/>
      <c r="BW57" s="166"/>
      <c r="BX57" s="166"/>
    </row>
    <row r="58" spans="1:77" ht="15.75" customHeight="1" thickTop="1">
      <c r="A58" s="4" t="s">
        <v>120</v>
      </c>
      <c r="E58" t="s">
        <v>0</v>
      </c>
      <c r="F58" t="s">
        <v>1</v>
      </c>
      <c r="J58" s="4" t="s">
        <v>120</v>
      </c>
      <c r="X58" s="145" t="s">
        <v>97</v>
      </c>
      <c r="Y58" s="240">
        <f>SUM(Y16:Y56)</f>
        <v>855</v>
      </c>
      <c r="Z58" s="240">
        <f t="shared" ref="Z58:AK58" si="96">SUM(Z16:Z56)</f>
        <v>448.875</v>
      </c>
      <c r="AA58" s="240">
        <f t="shared" si="96"/>
        <v>1496.25</v>
      </c>
      <c r="AB58" s="240">
        <f t="shared" si="96"/>
        <v>0</v>
      </c>
      <c r="AC58" s="240">
        <f t="shared" si="96"/>
        <v>1303.875</v>
      </c>
      <c r="AD58" s="240">
        <f t="shared" si="96"/>
        <v>2850</v>
      </c>
      <c r="AE58" s="240">
        <f t="shared" si="96"/>
        <v>1000</v>
      </c>
      <c r="AF58" s="240">
        <f t="shared" si="96"/>
        <v>230</v>
      </c>
      <c r="AG58" s="240">
        <f t="shared" si="96"/>
        <v>1496.25</v>
      </c>
      <c r="AH58" s="240">
        <f t="shared" si="96"/>
        <v>302.99062499999997</v>
      </c>
      <c r="AI58" s="240">
        <f t="shared" si="96"/>
        <v>4080</v>
      </c>
      <c r="AJ58" s="241">
        <f t="shared" si="96"/>
        <v>-2776.125</v>
      </c>
      <c r="AK58" s="241">
        <f t="shared" si="96"/>
        <v>228.11230038545895</v>
      </c>
      <c r="AL58" s="240">
        <f>SUM(AJ58,AL16)</f>
        <v>-3580.2373003854591</v>
      </c>
      <c r="AM58" s="241">
        <f>SUM(AM16:AM56)</f>
        <v>-3002.4331774741941</v>
      </c>
      <c r="AN58" s="166"/>
      <c r="AO58" s="240">
        <f t="shared" ref="AO58:BD58" si="97">SUM(AO16:AO56)</f>
        <v>720</v>
      </c>
      <c r="AP58" s="240">
        <f t="shared" si="97"/>
        <v>108</v>
      </c>
      <c r="AQ58" s="240">
        <f t="shared" si="97"/>
        <v>360</v>
      </c>
      <c r="AR58" s="240">
        <f t="shared" si="97"/>
        <v>0</v>
      </c>
      <c r="AS58" s="240">
        <f t="shared" si="97"/>
        <v>828</v>
      </c>
      <c r="AT58" s="240">
        <f t="shared" si="97"/>
        <v>1200</v>
      </c>
      <c r="AU58" s="240">
        <f t="shared" si="97"/>
        <v>1335.9999999999998</v>
      </c>
      <c r="AV58" s="240">
        <f t="shared" si="97"/>
        <v>621.40937001556063</v>
      </c>
      <c r="AW58" s="240">
        <f t="shared" si="97"/>
        <v>800</v>
      </c>
      <c r="AX58" s="240">
        <f t="shared" si="97"/>
        <v>163</v>
      </c>
      <c r="AY58" s="240">
        <f t="shared" si="97"/>
        <v>243.60000000000008</v>
      </c>
      <c r="AZ58" s="240">
        <f t="shared" si="97"/>
        <v>360</v>
      </c>
      <c r="BA58" s="240">
        <f t="shared" si="97"/>
        <v>72.899999999999991</v>
      </c>
      <c r="BB58" s="240">
        <f t="shared" si="97"/>
        <v>4364.0093700155621</v>
      </c>
      <c r="BC58" s="241">
        <f t="shared" si="97"/>
        <v>-3536.0093700155612</v>
      </c>
      <c r="BD58" s="241">
        <f t="shared" si="97"/>
        <v>-2389.3726790669621</v>
      </c>
      <c r="BH58" s="233">
        <f t="shared" ref="BH58:BV58" si="98">SUM(BH16:BH56)</f>
        <v>1200</v>
      </c>
      <c r="BI58" s="233">
        <f t="shared" si="98"/>
        <v>1335.9999999999998</v>
      </c>
      <c r="BJ58" s="233">
        <f t="shared" si="98"/>
        <v>621.40937001556063</v>
      </c>
      <c r="BK58" s="233">
        <f t="shared" si="98"/>
        <v>800</v>
      </c>
      <c r="BL58" s="233">
        <f t="shared" si="98"/>
        <v>243.60000000000008</v>
      </c>
      <c r="BM58" s="233">
        <f t="shared" si="98"/>
        <v>0</v>
      </c>
      <c r="BN58" s="233">
        <f t="shared" si="98"/>
        <v>4201.0093700155621</v>
      </c>
      <c r="BO58" s="233">
        <f t="shared" si="98"/>
        <v>2400</v>
      </c>
      <c r="BP58" s="233">
        <f t="shared" si="98"/>
        <v>800</v>
      </c>
      <c r="BQ58" s="233">
        <f t="shared" si="98"/>
        <v>451.71150058051774</v>
      </c>
      <c r="BR58" s="233">
        <f t="shared" si="98"/>
        <v>276</v>
      </c>
      <c r="BS58" s="233">
        <f t="shared" si="98"/>
        <v>200</v>
      </c>
      <c r="BT58" s="233">
        <f t="shared" si="98"/>
        <v>3.9600000000000013</v>
      </c>
      <c r="BU58" s="233">
        <f t="shared" si="98"/>
        <v>3679.9599999999969</v>
      </c>
      <c r="BV58" s="233">
        <f t="shared" si="98"/>
        <v>521.0493700155605</v>
      </c>
      <c r="BW58" s="166"/>
      <c r="BX58" s="168">
        <f>SUM(BX16:BX56)</f>
        <v>1336</v>
      </c>
    </row>
    <row r="59" spans="1:77" ht="15.75" customHeight="1">
      <c r="B59" t="s">
        <v>132</v>
      </c>
      <c r="C59" s="295" t="s">
        <v>184</v>
      </c>
      <c r="D59" t="s">
        <v>8</v>
      </c>
      <c r="E59" s="21">
        <f>O62</f>
        <v>1496.25</v>
      </c>
      <c r="F59" s="21">
        <f>P62</f>
        <v>360</v>
      </c>
      <c r="J59" s="4" t="s">
        <v>132</v>
      </c>
      <c r="O59" t="s">
        <v>0</v>
      </c>
      <c r="P59" t="s">
        <v>1</v>
      </c>
      <c r="AL59" s="31" t="s">
        <v>130</v>
      </c>
      <c r="AM59" s="31"/>
    </row>
    <row r="60" spans="1:77" ht="15.75" customHeight="1">
      <c r="C60" s="296" t="s">
        <v>105</v>
      </c>
      <c r="D60" t="s">
        <v>6</v>
      </c>
      <c r="E60" s="141">
        <v>0.3</v>
      </c>
      <c r="F60" s="141">
        <v>0.3</v>
      </c>
      <c r="K60" t="s">
        <v>73</v>
      </c>
      <c r="N60" s="19" t="s">
        <v>8</v>
      </c>
      <c r="O60" s="52">
        <f>O29</f>
        <v>2850</v>
      </c>
      <c r="P60" s="52">
        <f>P29</f>
        <v>2400</v>
      </c>
      <c r="V60" s="19"/>
      <c r="Y60"/>
      <c r="Z60"/>
      <c r="AA60" s="19"/>
      <c r="AB60" s="19"/>
      <c r="AC60" s="19"/>
      <c r="AD60" s="19"/>
      <c r="AE60" s="19"/>
      <c r="AF60" s="19"/>
      <c r="AG60" s="19"/>
      <c r="AH60" s="19"/>
      <c r="AI60" s="19"/>
      <c r="AJ60" s="19"/>
      <c r="AK60" s="281"/>
      <c r="AL60" s="31" t="s">
        <v>131</v>
      </c>
      <c r="AM60" s="281"/>
      <c r="AN60" s="281"/>
      <c r="AO60" s="281"/>
      <c r="AP60" s="19"/>
      <c r="AQ60" s="19"/>
      <c r="AR60" s="19"/>
      <c r="AS60" s="19"/>
      <c r="AT60" s="19"/>
      <c r="AU60" s="19"/>
      <c r="AV60" s="19"/>
      <c r="AW60" s="19"/>
      <c r="AX60" s="19"/>
      <c r="AY60" s="19"/>
      <c r="AZ60" s="19"/>
      <c r="BA60" s="19"/>
      <c r="BB60" s="19"/>
      <c r="BC60" s="19"/>
      <c r="BD60" s="19"/>
      <c r="BF60" s="281"/>
      <c r="BH60" s="19"/>
      <c r="BI60" s="19"/>
      <c r="BJ60" s="19"/>
      <c r="BK60" s="19"/>
      <c r="BL60" s="19"/>
      <c r="BM60" s="19"/>
      <c r="BN60" s="19"/>
      <c r="BO60" s="19"/>
      <c r="BP60" s="19"/>
      <c r="BQ60" s="19"/>
      <c r="BR60" s="19"/>
      <c r="BS60" s="19"/>
      <c r="BT60" s="19"/>
      <c r="BU60" s="19"/>
      <c r="BV60" s="19"/>
    </row>
    <row r="61" spans="1:77" ht="20.25" customHeight="1">
      <c r="C61" s="296" t="s">
        <v>106</v>
      </c>
      <c r="D61" t="s">
        <v>6</v>
      </c>
      <c r="E61" s="3">
        <v>0.3</v>
      </c>
      <c r="F61" s="3">
        <v>0.3</v>
      </c>
      <c r="K61" t="s">
        <v>4</v>
      </c>
      <c r="N61" s="19" t="s">
        <v>8</v>
      </c>
      <c r="O61" s="52">
        <f>O60*$E$60</f>
        <v>855</v>
      </c>
      <c r="P61" s="52">
        <f>P60*$F$60</f>
        <v>720</v>
      </c>
      <c r="V61" s="19"/>
      <c r="Y61"/>
      <c r="Z61"/>
      <c r="AA61" s="19"/>
      <c r="AB61" s="19"/>
      <c r="AC61" s="19"/>
      <c r="AD61" s="19"/>
      <c r="AE61" s="19"/>
      <c r="AF61" s="19"/>
      <c r="AG61" s="19"/>
      <c r="AH61" s="19"/>
      <c r="AI61" s="19"/>
      <c r="AJ61" s="19"/>
      <c r="AK61" s="281"/>
      <c r="AL61" s="281"/>
      <c r="AM61" s="281"/>
      <c r="AN61" s="281"/>
      <c r="AO61" s="281"/>
      <c r="AP61" s="19"/>
      <c r="AQ61" s="19"/>
      <c r="AR61" s="19"/>
      <c r="AS61" s="19"/>
      <c r="AT61" s="19"/>
      <c r="AU61" s="19"/>
      <c r="AV61" s="19"/>
      <c r="AW61" s="19"/>
      <c r="AX61" s="19"/>
      <c r="AY61" s="19"/>
      <c r="AZ61" s="19"/>
      <c r="BA61" s="19"/>
      <c r="BB61" s="19"/>
      <c r="BC61" s="19"/>
      <c r="BD61" s="19"/>
      <c r="BF61" s="281"/>
      <c r="BH61" s="19"/>
      <c r="BI61" s="19"/>
      <c r="BJ61" s="19"/>
      <c r="BK61" s="19"/>
      <c r="BL61" s="19"/>
      <c r="BM61" s="19"/>
      <c r="BN61" s="19"/>
      <c r="BO61" s="19"/>
      <c r="BP61" s="19"/>
      <c r="BQ61" s="19"/>
      <c r="BR61" s="19"/>
      <c r="BS61" s="19"/>
      <c r="BT61" s="19"/>
      <c r="BU61" s="19"/>
      <c r="BV61" s="19"/>
    </row>
    <row r="62" spans="1:77" ht="15.75" customHeight="1">
      <c r="C62" s="296" t="s">
        <v>107</v>
      </c>
      <c r="D62" t="s">
        <v>6</v>
      </c>
      <c r="E62" s="3">
        <v>0.75</v>
      </c>
      <c r="F62" s="3">
        <v>0.75</v>
      </c>
      <c r="J62" s="4"/>
      <c r="K62" t="s">
        <v>24</v>
      </c>
      <c r="N62" s="19" t="s">
        <v>8</v>
      </c>
      <c r="O62" s="52">
        <f>(O60-O61)*$E$62</f>
        <v>1496.25</v>
      </c>
      <c r="P62" s="52">
        <f>(P30-P61)*$F$62</f>
        <v>360</v>
      </c>
      <c r="V62" s="19"/>
    </row>
    <row r="63" spans="1:77" ht="15.75" customHeight="1">
      <c r="C63" s="296" t="s">
        <v>256</v>
      </c>
      <c r="D63" t="s">
        <v>7</v>
      </c>
      <c r="E63" s="1">
        <v>3</v>
      </c>
      <c r="F63" s="1">
        <v>3</v>
      </c>
      <c r="K63" t="s">
        <v>23</v>
      </c>
      <c r="N63" s="19" t="s">
        <v>8</v>
      </c>
      <c r="O63" s="52">
        <f>O62*$E$61</f>
        <v>448.875</v>
      </c>
      <c r="P63" s="52">
        <f>P62*$F$61</f>
        <v>108</v>
      </c>
      <c r="V63" s="19"/>
    </row>
    <row r="64" spans="1:77" ht="15.75" customHeight="1">
      <c r="C64" s="297" t="s">
        <v>76</v>
      </c>
      <c r="D64" t="s">
        <v>7</v>
      </c>
      <c r="E64" s="1">
        <v>20</v>
      </c>
      <c r="F64" s="1">
        <v>20</v>
      </c>
      <c r="K64" t="s">
        <v>44</v>
      </c>
      <c r="N64" s="19" t="s">
        <v>8</v>
      </c>
      <c r="O64" s="52">
        <f>O62/$E$64</f>
        <v>74.8125</v>
      </c>
      <c r="P64" s="52">
        <f>P62/$F$64</f>
        <v>18</v>
      </c>
      <c r="V64" s="19"/>
    </row>
    <row r="65" spans="1:23" ht="15.75" customHeight="1">
      <c r="C65" s="297" t="s">
        <v>109</v>
      </c>
      <c r="D65" t="s">
        <v>6</v>
      </c>
      <c r="E65" s="54">
        <v>1.4999999999999999E-2</v>
      </c>
      <c r="F65" s="54">
        <v>1.4999999999999999E-2</v>
      </c>
      <c r="K65" s="295" t="s">
        <v>259</v>
      </c>
      <c r="N65" s="19" t="s">
        <v>257</v>
      </c>
      <c r="O65" s="298">
        <f>$F$16+E63+1</f>
        <v>7</v>
      </c>
      <c r="P65" s="298">
        <f>$F$16+F63+1</f>
        <v>7</v>
      </c>
    </row>
    <row r="66" spans="1:23" ht="15.75" customHeight="1">
      <c r="B66" t="s">
        <v>133</v>
      </c>
      <c r="C66" s="19"/>
      <c r="J66" s="4" t="s">
        <v>133</v>
      </c>
      <c r="P66" t="s">
        <v>1</v>
      </c>
    </row>
    <row r="67" spans="1:23" ht="15.75" customHeight="1">
      <c r="E67" t="s">
        <v>0</v>
      </c>
      <c r="F67" t="s">
        <v>1</v>
      </c>
      <c r="K67" t="s">
        <v>18</v>
      </c>
      <c r="O67" s="19"/>
      <c r="P67" s="110">
        <f>SUM(F69:F70)</f>
        <v>2.9499999999999998E-2</v>
      </c>
    </row>
    <row r="68" spans="1:23" ht="15.75" customHeight="1">
      <c r="C68" t="s">
        <v>184</v>
      </c>
      <c r="D68" t="s">
        <v>8</v>
      </c>
      <c r="F68" s="21">
        <f>P31</f>
        <v>1200</v>
      </c>
    </row>
    <row r="69" spans="1:23" ht="15.75" customHeight="1">
      <c r="C69" t="s">
        <v>10</v>
      </c>
      <c r="D69" t="s">
        <v>6</v>
      </c>
      <c r="F69" s="294">
        <f>F35</f>
        <v>1.4500000000000001E-2</v>
      </c>
      <c r="H69" s="56" t="s">
        <v>276</v>
      </c>
    </row>
    <row r="70" spans="1:23" ht="15.75" customHeight="1">
      <c r="C70" t="s">
        <v>11</v>
      </c>
      <c r="D70" t="s">
        <v>6</v>
      </c>
      <c r="F70" s="16">
        <v>1.4999999999999999E-2</v>
      </c>
    </row>
    <row r="71" spans="1:23" ht="15.75" customHeight="1">
      <c r="C71" s="56" t="s">
        <v>110</v>
      </c>
      <c r="D71" t="s">
        <v>6</v>
      </c>
    </row>
    <row r="72" spans="1:23" ht="15.75" customHeight="1">
      <c r="A72" s="4" t="s">
        <v>112</v>
      </c>
      <c r="J72" s="4" t="s">
        <v>112</v>
      </c>
    </row>
    <row r="73" spans="1:23" ht="15.75" customHeight="1">
      <c r="C73" t="s">
        <v>127</v>
      </c>
      <c r="O73" s="19"/>
      <c r="P73" s="19"/>
      <c r="R73" s="4" t="s">
        <v>147</v>
      </c>
      <c r="S73" s="4"/>
      <c r="T73" s="4"/>
    </row>
    <row r="74" spans="1:23" ht="15.75" customHeight="1">
      <c r="C74" s="2" t="s">
        <v>185</v>
      </c>
      <c r="D74" t="s">
        <v>8</v>
      </c>
      <c r="F74" s="269">
        <v>0</v>
      </c>
      <c r="H74" t="s">
        <v>187</v>
      </c>
      <c r="O74" s="19"/>
      <c r="P74" s="5" t="s">
        <v>127</v>
      </c>
      <c r="U74" s="4" t="s">
        <v>139</v>
      </c>
    </row>
    <row r="75" spans="1:23" ht="15.75" customHeight="1">
      <c r="C75" s="2" t="s">
        <v>186</v>
      </c>
      <c r="D75" t="s">
        <v>6</v>
      </c>
      <c r="F75" s="112">
        <v>0.33579999999999999</v>
      </c>
      <c r="H75" t="s">
        <v>134</v>
      </c>
      <c r="N75" t="s">
        <v>128</v>
      </c>
      <c r="O75" s="2"/>
      <c r="P75" s="20">
        <f>F74</f>
        <v>0</v>
      </c>
      <c r="S75" t="s">
        <v>148</v>
      </c>
      <c r="T75" s="19" t="s">
        <v>8</v>
      </c>
      <c r="U75" s="20">
        <f>F90</f>
        <v>0</v>
      </c>
    </row>
    <row r="76" spans="1:23" ht="15.75" customHeight="1">
      <c r="C76" t="s">
        <v>102</v>
      </c>
      <c r="N76" t="s">
        <v>125</v>
      </c>
      <c r="O76" s="2"/>
      <c r="P76" s="115">
        <f>F75</f>
        <v>0.33579999999999999</v>
      </c>
      <c r="S76" t="s">
        <v>125</v>
      </c>
      <c r="T76" t="s">
        <v>6</v>
      </c>
      <c r="U76" s="115">
        <f>F91</f>
        <v>0</v>
      </c>
      <c r="W76" s="113"/>
    </row>
    <row r="77" spans="1:23" ht="15.75" customHeight="1">
      <c r="C77" s="2" t="s">
        <v>126</v>
      </c>
      <c r="D77" t="s">
        <v>8</v>
      </c>
      <c r="F77" s="111">
        <v>0.18</v>
      </c>
      <c r="H77" t="s">
        <v>143</v>
      </c>
      <c r="N77" t="s">
        <v>126</v>
      </c>
      <c r="O77" s="2" t="s">
        <v>8</v>
      </c>
      <c r="P77" s="116">
        <f>P75*P76</f>
        <v>0</v>
      </c>
      <c r="S77" t="s">
        <v>126</v>
      </c>
      <c r="T77" s="19" t="s">
        <v>8</v>
      </c>
      <c r="U77" s="116">
        <f>U75*U76</f>
        <v>0</v>
      </c>
    </row>
    <row r="78" spans="1:23" ht="15.75" customHeight="1">
      <c r="N78"/>
      <c r="O78" s="2"/>
      <c r="P78" s="5" t="s">
        <v>102</v>
      </c>
      <c r="T78" s="19"/>
      <c r="U78" s="4" t="s">
        <v>140</v>
      </c>
    </row>
    <row r="79" spans="1:23" ht="15.75" customHeight="1">
      <c r="C79" t="s">
        <v>135</v>
      </c>
      <c r="N79" t="s">
        <v>126</v>
      </c>
      <c r="O79" s="2" t="s">
        <v>8</v>
      </c>
      <c r="P79" s="117">
        <f>F77</f>
        <v>0.18</v>
      </c>
      <c r="S79" t="s">
        <v>148</v>
      </c>
      <c r="T79" s="19" t="s">
        <v>8</v>
      </c>
      <c r="U79" s="20">
        <f>F93</f>
        <v>0</v>
      </c>
    </row>
    <row r="80" spans="1:23" ht="15.75" customHeight="1">
      <c r="C80" s="2" t="s">
        <v>148</v>
      </c>
      <c r="D80" t="s">
        <v>8</v>
      </c>
      <c r="F80" s="111">
        <v>0</v>
      </c>
      <c r="H80" t="s">
        <v>197</v>
      </c>
      <c r="O80" s="2"/>
      <c r="P80" s="5" t="s">
        <v>135</v>
      </c>
      <c r="S80" t="s">
        <v>125</v>
      </c>
      <c r="T80" t="s">
        <v>6</v>
      </c>
      <c r="U80" s="115">
        <f>F94</f>
        <v>0</v>
      </c>
    </row>
    <row r="81" spans="3:21" ht="15.75" customHeight="1">
      <c r="C81" s="2" t="s">
        <v>125</v>
      </c>
      <c r="D81" t="s">
        <v>6</v>
      </c>
      <c r="F81" s="135"/>
      <c r="H81" t="s">
        <v>138</v>
      </c>
      <c r="N81" t="s">
        <v>142</v>
      </c>
      <c r="O81" s="2"/>
      <c r="P81" s="20">
        <f>F80</f>
        <v>0</v>
      </c>
      <c r="S81" t="s">
        <v>126</v>
      </c>
      <c r="T81" s="19" t="s">
        <v>8</v>
      </c>
      <c r="U81" s="116">
        <f>U79*U80</f>
        <v>0</v>
      </c>
    </row>
    <row r="82" spans="3:21" ht="15.75" customHeight="1">
      <c r="C82" t="s">
        <v>136</v>
      </c>
      <c r="N82" t="s">
        <v>125</v>
      </c>
      <c r="O82" s="2"/>
      <c r="P82" s="115">
        <f>F81</f>
        <v>0</v>
      </c>
      <c r="T82" s="19"/>
      <c r="U82" s="4" t="s">
        <v>141</v>
      </c>
    </row>
    <row r="83" spans="3:21" ht="15.75" customHeight="1">
      <c r="C83" s="2" t="s">
        <v>148</v>
      </c>
      <c r="D83" t="s">
        <v>8</v>
      </c>
      <c r="F83" s="111">
        <v>0</v>
      </c>
      <c r="H83" t="s">
        <v>197</v>
      </c>
      <c r="N83" t="s">
        <v>126</v>
      </c>
      <c r="O83" s="2" t="s">
        <v>8</v>
      </c>
      <c r="P83" s="116">
        <f>P81*P82</f>
        <v>0</v>
      </c>
      <c r="S83" t="s">
        <v>148</v>
      </c>
      <c r="T83" s="19" t="s">
        <v>8</v>
      </c>
      <c r="U83" s="20">
        <f>F96</f>
        <v>0</v>
      </c>
    </row>
    <row r="84" spans="3:21">
      <c r="C84" s="2" t="s">
        <v>125</v>
      </c>
      <c r="D84" t="s">
        <v>6</v>
      </c>
      <c r="F84" s="135"/>
      <c r="H84" t="s">
        <v>138</v>
      </c>
      <c r="O84" s="2"/>
      <c r="P84" s="5" t="s">
        <v>137</v>
      </c>
      <c r="S84" t="s">
        <v>125</v>
      </c>
      <c r="T84" t="s">
        <v>6</v>
      </c>
      <c r="U84" s="115">
        <f>F97</f>
        <v>0</v>
      </c>
    </row>
    <row r="85" spans="3:21">
      <c r="C85" t="s">
        <v>137</v>
      </c>
      <c r="N85" t="s">
        <v>142</v>
      </c>
      <c r="O85" s="2"/>
      <c r="P85" s="20">
        <f>F83</f>
        <v>0</v>
      </c>
      <c r="S85" t="s">
        <v>126</v>
      </c>
      <c r="T85" s="19" t="s">
        <v>8</v>
      </c>
      <c r="U85" s="116">
        <f>U83*U84</f>
        <v>0</v>
      </c>
    </row>
    <row r="86" spans="3:21">
      <c r="C86" s="2" t="s">
        <v>148</v>
      </c>
      <c r="D86" t="s">
        <v>8</v>
      </c>
      <c r="F86" s="111">
        <v>0</v>
      </c>
      <c r="H86" t="s">
        <v>198</v>
      </c>
      <c r="N86" t="s">
        <v>125</v>
      </c>
      <c r="O86" s="2"/>
      <c r="P86" s="115">
        <f>F87</f>
        <v>0</v>
      </c>
      <c r="T86" s="19"/>
    </row>
    <row r="87" spans="3:21">
      <c r="C87" s="2" t="s">
        <v>125</v>
      </c>
      <c r="D87" t="s">
        <v>6</v>
      </c>
      <c r="F87" s="135"/>
      <c r="H87" t="s">
        <v>138</v>
      </c>
      <c r="N87" t="s">
        <v>126</v>
      </c>
      <c r="O87" s="2" t="s">
        <v>8</v>
      </c>
      <c r="P87" s="116">
        <f>P85*P86</f>
        <v>0</v>
      </c>
      <c r="S87" t="s">
        <v>149</v>
      </c>
      <c r="T87" s="19" t="s">
        <v>8</v>
      </c>
      <c r="U87" s="118">
        <f>IF($F$13="都道府県",P83,0)</f>
        <v>0</v>
      </c>
    </row>
    <row r="88" spans="3:21">
      <c r="C88" t="s">
        <v>111</v>
      </c>
      <c r="N88"/>
      <c r="O88" s="2"/>
      <c r="P88" s="267" t="s">
        <v>144</v>
      </c>
      <c r="S88" t="s">
        <v>157</v>
      </c>
      <c r="T88" s="19" t="s">
        <v>8</v>
      </c>
      <c r="U88" s="69">
        <f>IF($F$13="市町村",P91,0)</f>
        <v>0</v>
      </c>
    </row>
    <row r="89" spans="3:21">
      <c r="C89" t="s">
        <v>139</v>
      </c>
      <c r="N89" t="s">
        <v>142</v>
      </c>
      <c r="O89" s="2"/>
      <c r="P89" s="20">
        <f>F83</f>
        <v>0</v>
      </c>
    </row>
    <row r="90" spans="3:21">
      <c r="C90" s="2" t="s">
        <v>148</v>
      </c>
      <c r="D90" t="s">
        <v>8</v>
      </c>
      <c r="F90" s="269">
        <v>0</v>
      </c>
      <c r="H90" t="s">
        <v>187</v>
      </c>
      <c r="N90" t="s">
        <v>125</v>
      </c>
      <c r="O90" s="2"/>
      <c r="P90" s="115">
        <f>F84</f>
        <v>0</v>
      </c>
    </row>
    <row r="91" spans="3:21">
      <c r="C91" s="2" t="s">
        <v>125</v>
      </c>
      <c r="D91" t="s">
        <v>6</v>
      </c>
      <c r="F91" s="1">
        <v>0</v>
      </c>
      <c r="H91" t="s">
        <v>145</v>
      </c>
      <c r="N91" t="s">
        <v>126</v>
      </c>
      <c r="O91" s="2" t="s">
        <v>8</v>
      </c>
      <c r="P91" s="116">
        <f>P89*P90</f>
        <v>0</v>
      </c>
    </row>
    <row r="92" spans="3:21">
      <c r="C92" t="s">
        <v>188</v>
      </c>
      <c r="K92" s="4" t="s">
        <v>104</v>
      </c>
      <c r="N92"/>
      <c r="O92" s="2"/>
      <c r="R92" s="4" t="s">
        <v>158</v>
      </c>
      <c r="S92" s="4"/>
    </row>
    <row r="93" spans="3:21">
      <c r="C93" s="2" t="s">
        <v>200</v>
      </c>
      <c r="D93" t="s">
        <v>8</v>
      </c>
      <c r="F93" s="269">
        <v>0</v>
      </c>
      <c r="H93" t="s">
        <v>187</v>
      </c>
      <c r="M93" t="s">
        <v>243</v>
      </c>
      <c r="N93" t="s">
        <v>126</v>
      </c>
      <c r="O93" s="2" t="s">
        <v>8</v>
      </c>
      <c r="P93" s="52">
        <f>P79</f>
        <v>0.18</v>
      </c>
      <c r="S93" t="s">
        <v>159</v>
      </c>
      <c r="T93" s="19" t="s">
        <v>8</v>
      </c>
      <c r="U93" s="69">
        <f>SUM(F99,U77,U81,U85,U87:U88)</f>
        <v>0</v>
      </c>
    </row>
    <row r="94" spans="3:21">
      <c r="C94" s="2" t="s">
        <v>125</v>
      </c>
      <c r="D94" t="s">
        <v>6</v>
      </c>
      <c r="F94" s="1">
        <v>0</v>
      </c>
      <c r="H94" t="s">
        <v>145</v>
      </c>
      <c r="M94" t="s">
        <v>159</v>
      </c>
      <c r="N94" t="s">
        <v>126</v>
      </c>
      <c r="O94" s="2" t="s">
        <v>8</v>
      </c>
      <c r="P94" s="52">
        <f>SUM(P77,P79,P83,P87,P91)</f>
        <v>0.18</v>
      </c>
      <c r="S94" t="s">
        <v>160</v>
      </c>
      <c r="T94" s="19" t="s">
        <v>8</v>
      </c>
      <c r="U94" s="69">
        <f>SUM(F100,U77,U81,U85)</f>
        <v>0</v>
      </c>
    </row>
    <row r="95" spans="3:21">
      <c r="C95" s="56" t="s">
        <v>189</v>
      </c>
      <c r="M95" t="s">
        <v>160</v>
      </c>
      <c r="N95" t="s">
        <v>126</v>
      </c>
      <c r="O95" s="2" t="s">
        <v>8</v>
      </c>
      <c r="P95" s="52">
        <f>SUM(P77,P79,P91)</f>
        <v>0.18</v>
      </c>
    </row>
    <row r="96" spans="3:21">
      <c r="C96" s="2" t="s">
        <v>200</v>
      </c>
      <c r="D96" t="s">
        <v>8</v>
      </c>
      <c r="F96" s="269">
        <v>0</v>
      </c>
      <c r="H96" t="s">
        <v>187</v>
      </c>
    </row>
    <row r="97" spans="1:16">
      <c r="C97" s="2" t="s">
        <v>125</v>
      </c>
      <c r="D97" t="s">
        <v>6</v>
      </c>
      <c r="F97" s="1">
        <v>0</v>
      </c>
      <c r="H97" t="s">
        <v>146</v>
      </c>
    </row>
    <row r="98" spans="1:16"/>
    <row r="99" spans="1:16">
      <c r="C99" t="s">
        <v>174</v>
      </c>
      <c r="D99" t="s">
        <v>8</v>
      </c>
      <c r="F99" s="111"/>
    </row>
    <row r="100" spans="1:16">
      <c r="C100" t="s">
        <v>175</v>
      </c>
      <c r="D100" t="s">
        <v>8</v>
      </c>
      <c r="F100" s="111"/>
    </row>
    <row r="101" spans="1:16"/>
    <row r="102" spans="1:16">
      <c r="A102" s="4" t="s">
        <v>113</v>
      </c>
      <c r="J102" s="4" t="s">
        <v>124</v>
      </c>
      <c r="O102" t="s">
        <v>0</v>
      </c>
      <c r="P102" t="s">
        <v>1</v>
      </c>
    </row>
    <row r="103" spans="1:16">
      <c r="C103" s="31"/>
      <c r="D103" s="31"/>
      <c r="E103" s="31"/>
      <c r="F103" s="31" t="s">
        <v>38</v>
      </c>
      <c r="K103" t="s">
        <v>267</v>
      </c>
      <c r="N103" s="19" t="s">
        <v>8</v>
      </c>
      <c r="O103" s="52">
        <f>F104</f>
        <v>100</v>
      </c>
      <c r="P103" s="53"/>
    </row>
    <row r="104" spans="1:16">
      <c r="C104" s="94" t="s">
        <v>164</v>
      </c>
      <c r="D104" t="s">
        <v>8</v>
      </c>
      <c r="F104" s="1">
        <v>100</v>
      </c>
      <c r="K104" t="s">
        <v>268</v>
      </c>
      <c r="N104" s="19" t="s">
        <v>8</v>
      </c>
      <c r="O104" s="52">
        <f>F105*O16</f>
        <v>276</v>
      </c>
      <c r="P104" s="53"/>
    </row>
    <row r="105" spans="1:16">
      <c r="C105" s="94" t="s">
        <v>129</v>
      </c>
      <c r="D105" t="s">
        <v>8</v>
      </c>
      <c r="F105" s="1">
        <v>12</v>
      </c>
      <c r="K105" t="s">
        <v>269</v>
      </c>
      <c r="N105" s="19" t="s">
        <v>8</v>
      </c>
      <c r="O105" s="52">
        <f>F106</f>
        <v>100</v>
      </c>
      <c r="P105" s="53"/>
    </row>
    <row r="106" spans="1:16">
      <c r="C106" s="94" t="s">
        <v>40</v>
      </c>
      <c r="D106" t="s">
        <v>8</v>
      </c>
      <c r="F106" s="1">
        <v>100</v>
      </c>
      <c r="K106" t="s">
        <v>270</v>
      </c>
      <c r="M106" t="s">
        <v>5</v>
      </c>
      <c r="N106"/>
      <c r="O106" s="291"/>
    </row>
    <row r="107" spans="1:16">
      <c r="M107" t="s">
        <v>264</v>
      </c>
      <c r="N107" s="19" t="s">
        <v>6</v>
      </c>
      <c r="O107" s="292">
        <f>F65</f>
        <v>1.4999999999999999E-2</v>
      </c>
      <c r="P107" s="53"/>
    </row>
    <row r="108" spans="1:16">
      <c r="M108" t="s">
        <v>79</v>
      </c>
      <c r="N108" s="19" t="s">
        <v>6</v>
      </c>
      <c r="O108" s="293">
        <f>P67</f>
        <v>2.9499999999999998E-2</v>
      </c>
      <c r="P108" s="53"/>
    </row>
    <row r="109" spans="1:16">
      <c r="M109" t="s">
        <v>70</v>
      </c>
      <c r="N109" s="19" t="s">
        <v>6</v>
      </c>
      <c r="O109" s="292">
        <f>O108-O107</f>
        <v>1.4499999999999999E-2</v>
      </c>
      <c r="P109" s="53"/>
    </row>
    <row r="110" spans="1:16">
      <c r="M110" s="299" t="s">
        <v>114</v>
      </c>
      <c r="N110" t="s">
        <v>8</v>
      </c>
      <c r="O110" s="52">
        <f>SUM(AK17:AK46)</f>
        <v>228.11230038545895</v>
      </c>
      <c r="P110" s="53"/>
    </row>
    <row r="111" spans="1:16"/>
    <row r="112" spans="1:16" s="264" customFormat="1" ht="17" thickBot="1">
      <c r="B112" s="264" t="s">
        <v>252</v>
      </c>
      <c r="I112" s="265"/>
    </row>
    <row r="113" ht="19" hidden="1" thickTop="1"/>
  </sheetData>
  <phoneticPr fontId="2"/>
  <dataValidations count="2">
    <dataValidation type="list" allowBlank="1" showInputMessage="1" showErrorMessage="1" sqref="F13" xr:uid="{A255AE35-3C5C-4046-BC1C-FE264D2DF02A}">
      <formula1>$O$13:$Q$13</formula1>
    </dataValidation>
    <dataValidation type="list" allowBlank="1" showInputMessage="1" showErrorMessage="1" sqref="F47" xr:uid="{A5847ABE-49DC-4ABA-B72E-204A9087D16B}">
      <formula1>$G$47:$G$48</formula1>
    </dataValidation>
  </dataValidations>
  <pageMargins left="0.23622047244094491" right="0.23622047244094491" top="0.74803149606299213" bottom="0.74803149606299213" header="0.31496062992125984" footer="0.31496062992125984"/>
  <pageSetup paperSize="8" scale="40" fitToWidth="0" orientation="landscape" r:id="rId1"/>
  <colBreaks count="2" manualBreakCount="2">
    <brk id="21" max="124" man="1"/>
    <brk id="58" max="124"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361F-05B8-4EAA-9215-1708D42B1642}">
  <sheetPr>
    <tabColor rgb="FFFFC000"/>
    <pageSetUpPr fitToPage="1"/>
  </sheetPr>
  <dimension ref="A1:CM113"/>
  <sheetViews>
    <sheetView showGridLines="0" view="pageBreakPreview" topLeftCell="U1" zoomScale="70" zoomScaleNormal="55" zoomScaleSheetLayoutView="70" workbookViewId="0">
      <selection activeCell="AH17" sqref="AH17:AH56"/>
    </sheetView>
  </sheetViews>
  <sheetFormatPr baseColWidth="10" defaultColWidth="0" defaultRowHeight="18" zeroHeight="1" outlineLevelCol="1"/>
  <cols>
    <col min="1" max="1" width="4.83203125" customWidth="1"/>
    <col min="2" max="2" width="40.6640625" customWidth="1"/>
    <col min="3" max="3" width="40.1640625" bestFit="1" customWidth="1"/>
    <col min="4" max="4" width="7.33203125" customWidth="1"/>
    <col min="5" max="5" width="8.5" bestFit="1" customWidth="1"/>
    <col min="6" max="6" width="11.5" customWidth="1"/>
    <col min="7" max="7" width="2.5" customWidth="1"/>
    <col min="8" max="8" width="43.6640625" customWidth="1"/>
    <col min="9" max="9" width="1.6640625" customWidth="1"/>
    <col min="10" max="11" width="12.5" customWidth="1" outlineLevel="1"/>
    <col min="12" max="12" width="1.83203125" customWidth="1" outlineLevel="1"/>
    <col min="13" max="13" width="42.1640625" customWidth="1" outlineLevel="1"/>
    <col min="14" max="14" width="11.1640625" style="19" customWidth="1" outlineLevel="1"/>
    <col min="15" max="16" width="24.5" customWidth="1" outlineLevel="1"/>
    <col min="17" max="17" width="4.6640625" customWidth="1" outlineLevel="1"/>
    <col min="18" max="18" width="10" customWidth="1" outlineLevel="1"/>
    <col min="19" max="19" width="19.1640625" customWidth="1" outlineLevel="1"/>
    <col min="20" max="20" width="7.5" customWidth="1" outlineLevel="1"/>
    <col min="21" max="21" width="24.5" customWidth="1" outlineLevel="1"/>
    <col min="22" max="22" width="12" customWidth="1"/>
    <col min="23" max="23" width="9.6640625" customWidth="1"/>
    <col min="24" max="24" width="21.5" customWidth="1"/>
    <col min="25" max="26" width="10.83203125" customWidth="1"/>
    <col min="27" max="36" width="10.83203125" style="19" customWidth="1"/>
    <col min="37" max="38" width="10.83203125" style="31" customWidth="1"/>
    <col min="39" max="39" width="12" style="31" customWidth="1"/>
    <col min="40" max="40" width="1.6640625" style="31" customWidth="1"/>
    <col min="41" max="41" width="10.33203125" style="31" customWidth="1"/>
    <col min="42" max="45" width="10.33203125" style="19" customWidth="1"/>
    <col min="46" max="49" width="16" style="19" customWidth="1"/>
    <col min="50" max="54" width="10.6640625" style="19" customWidth="1"/>
    <col min="55" max="56" width="12" style="19" customWidth="1"/>
    <col min="57" max="57" width="1.6640625" style="19" customWidth="1"/>
    <col min="58" max="58" width="12" style="31" customWidth="1"/>
    <col min="59" max="59" width="1.5" style="19" customWidth="1"/>
    <col min="60" max="63" width="16" style="19" customWidth="1"/>
    <col min="64" max="70" width="12" style="19" customWidth="1"/>
    <col min="71" max="71" width="16.83203125" style="19" customWidth="1"/>
    <col min="72" max="74" width="12" style="19" customWidth="1"/>
    <col min="75" max="75" width="2.1640625" style="19" customWidth="1"/>
    <col min="76" max="76" width="12" style="19" customWidth="1"/>
    <col min="77" max="77" width="20.6640625" style="19" bestFit="1" customWidth="1"/>
    <col min="78" max="78" width="3.33203125" style="19" hidden="1" customWidth="1"/>
    <col min="79" max="79" width="0" style="19" hidden="1" customWidth="1"/>
    <col min="80" max="91" width="0" hidden="1" customWidth="1"/>
    <col min="92" max="16384" width="9" hidden="1"/>
  </cols>
  <sheetData>
    <row r="1" spans="1:79" ht="15.75" customHeight="1"/>
    <row r="2" spans="1:79">
      <c r="B2" s="4" t="s">
        <v>262</v>
      </c>
      <c r="Y2" s="242"/>
      <c r="Z2" s="242"/>
      <c r="AA2" s="33"/>
      <c r="AB2" s="33"/>
      <c r="AC2" s="33"/>
      <c r="AD2" s="33"/>
      <c r="AE2" s="33"/>
      <c r="AF2" s="33"/>
      <c r="AG2" s="33"/>
      <c r="AH2" s="33"/>
      <c r="AI2" s="33"/>
      <c r="AJ2" s="33"/>
      <c r="AK2" s="234"/>
      <c r="AL2" s="234"/>
      <c r="AM2" s="234"/>
      <c r="AO2" s="234"/>
      <c r="AP2" s="33"/>
      <c r="AQ2" s="33"/>
      <c r="AR2" s="33"/>
      <c r="AS2" s="33"/>
      <c r="AT2" s="33"/>
      <c r="AU2" s="33"/>
      <c r="AV2" s="33"/>
      <c r="AW2" s="33"/>
      <c r="AX2" s="33"/>
      <c r="AY2" s="33"/>
      <c r="AZ2" s="33"/>
      <c r="BA2" s="33"/>
      <c r="BB2" s="33"/>
      <c r="BC2" s="33"/>
      <c r="BD2" s="33"/>
      <c r="BH2" s="33"/>
      <c r="BI2" s="33"/>
      <c r="BJ2" s="33"/>
      <c r="BK2" s="33"/>
      <c r="BL2" s="33"/>
      <c r="BM2" s="33"/>
      <c r="BN2" s="33"/>
      <c r="BO2" s="33"/>
      <c r="BP2" s="33"/>
      <c r="BQ2" s="33"/>
      <c r="BR2" s="33"/>
      <c r="BS2" s="33"/>
      <c r="BT2" s="33"/>
      <c r="BU2" s="33"/>
      <c r="BV2" s="33"/>
    </row>
    <row r="3" spans="1:79">
      <c r="B3" s="270" t="s">
        <v>263</v>
      </c>
      <c r="Y3" s="242"/>
      <c r="Z3" s="242"/>
      <c r="AA3" s="33"/>
      <c r="AB3" s="33"/>
      <c r="AC3" s="33"/>
      <c r="AD3" s="33"/>
      <c r="AE3" s="33"/>
      <c r="AF3" s="33"/>
      <c r="AG3" s="33"/>
      <c r="AH3" s="33"/>
      <c r="AI3" s="33"/>
      <c r="AJ3" s="33"/>
      <c r="AK3" s="234"/>
      <c r="AL3" s="234"/>
      <c r="AM3" s="234"/>
      <c r="AO3" s="234"/>
      <c r="AP3" s="33"/>
      <c r="AQ3" s="33"/>
      <c r="AR3" s="33"/>
      <c r="AS3" s="33"/>
      <c r="AT3" s="33"/>
      <c r="AU3" s="33"/>
      <c r="AV3" s="33"/>
      <c r="AW3" s="33"/>
      <c r="AX3" s="33"/>
      <c r="AY3" s="33"/>
      <c r="AZ3" s="33"/>
      <c r="BA3" s="33"/>
      <c r="BB3" s="33"/>
      <c r="BC3" s="33"/>
      <c r="BD3" s="33"/>
      <c r="BH3" s="33"/>
      <c r="BI3" s="33"/>
      <c r="BJ3" s="33"/>
      <c r="BK3" s="33"/>
      <c r="BL3" s="33"/>
      <c r="BM3" s="33"/>
      <c r="BN3" s="33"/>
      <c r="BO3" s="33"/>
      <c r="BP3" s="33"/>
      <c r="BQ3" s="33"/>
      <c r="BR3" s="33"/>
      <c r="BS3" s="33"/>
      <c r="BT3" s="33"/>
      <c r="BU3" s="33"/>
      <c r="BV3" s="33"/>
    </row>
    <row r="4" spans="1:79">
      <c r="B4" s="271" t="s">
        <v>261</v>
      </c>
      <c r="Y4" s="242"/>
      <c r="Z4" s="242"/>
      <c r="AA4" s="33"/>
      <c r="AB4" s="33"/>
      <c r="AC4" s="33"/>
      <c r="AD4" s="33"/>
      <c r="AE4" s="33"/>
      <c r="AF4" s="33"/>
      <c r="AG4" s="33"/>
      <c r="AH4" s="33"/>
      <c r="AI4" s="33"/>
      <c r="AJ4" s="33"/>
      <c r="AK4" s="234"/>
      <c r="AL4" s="234"/>
      <c r="AM4" s="234"/>
      <c r="AO4" s="234"/>
      <c r="AP4" s="33"/>
      <c r="AQ4" s="33"/>
      <c r="AR4" s="33"/>
      <c r="AS4" s="33"/>
      <c r="AT4" s="33"/>
      <c r="AU4" s="33"/>
      <c r="AV4" s="33"/>
      <c r="AW4" s="33"/>
      <c r="AX4" s="33"/>
      <c r="AY4" s="33"/>
      <c r="AZ4" s="33"/>
      <c r="BA4" s="33"/>
      <c r="BB4" s="33"/>
      <c r="BC4" s="33"/>
      <c r="BD4" s="33"/>
      <c r="BH4" s="33"/>
      <c r="BI4" s="33"/>
      <c r="BJ4" s="33"/>
      <c r="BK4" s="33"/>
      <c r="BL4" s="33"/>
      <c r="BM4" s="33"/>
      <c r="BN4" s="33"/>
      <c r="BO4" s="33"/>
      <c r="BP4" s="33"/>
      <c r="BQ4" s="33"/>
      <c r="BR4" s="33"/>
      <c r="BS4" s="33"/>
      <c r="BT4" s="33"/>
      <c r="BU4" s="33"/>
      <c r="BV4" s="33"/>
    </row>
    <row r="5" spans="1:79" ht="15.75" customHeight="1">
      <c r="B5" s="272" t="s">
        <v>260</v>
      </c>
      <c r="Y5" s="242"/>
      <c r="Z5" s="242"/>
      <c r="AA5" s="33"/>
      <c r="AB5" s="33"/>
      <c r="AC5" s="33"/>
      <c r="AD5" s="33"/>
      <c r="AE5" s="33"/>
      <c r="AF5" s="33"/>
      <c r="AG5" s="33"/>
      <c r="AH5" s="33"/>
      <c r="AI5" s="33"/>
      <c r="AJ5" s="33"/>
      <c r="AK5" s="234"/>
      <c r="AL5" s="234"/>
      <c r="AM5" s="234"/>
      <c r="AO5" s="234"/>
      <c r="AP5" s="33"/>
      <c r="AQ5" s="33"/>
      <c r="AR5" s="33"/>
      <c r="AS5" s="33"/>
      <c r="AT5" s="33"/>
      <c r="AU5" s="33"/>
      <c r="AV5" s="33"/>
      <c r="AW5" s="33"/>
      <c r="AX5" s="33"/>
      <c r="AY5" s="33"/>
      <c r="AZ5" s="33"/>
      <c r="BA5" s="33"/>
      <c r="BB5" s="33"/>
      <c r="BC5" s="33"/>
      <c r="BD5" s="33"/>
      <c r="BH5" s="33"/>
      <c r="BI5" s="33"/>
      <c r="BJ5" s="33"/>
      <c r="BK5" s="33"/>
      <c r="BL5" s="33"/>
      <c r="BM5" s="33"/>
      <c r="BN5" s="33"/>
      <c r="BO5" s="33"/>
      <c r="BP5" s="33"/>
      <c r="BQ5" s="33"/>
      <c r="BR5" s="33"/>
      <c r="BS5" s="33"/>
      <c r="BT5" s="33"/>
      <c r="BU5" s="33"/>
      <c r="BV5" s="33"/>
    </row>
    <row r="6" spans="1:79" ht="15.75" customHeight="1">
      <c r="Y6" s="242"/>
      <c r="Z6" s="242"/>
      <c r="AA6" s="33"/>
      <c r="AB6" s="33"/>
      <c r="AC6" s="33"/>
      <c r="AD6" s="33"/>
      <c r="AE6" s="33"/>
      <c r="AF6" s="33"/>
      <c r="AG6" s="33"/>
      <c r="AH6" s="33"/>
      <c r="AI6" s="33"/>
      <c r="AJ6" s="33"/>
      <c r="AK6" s="234"/>
      <c r="AL6" s="234"/>
      <c r="AM6" s="234"/>
      <c r="AO6" s="234"/>
      <c r="AP6" s="33"/>
      <c r="AQ6" s="33"/>
      <c r="AR6" s="33"/>
      <c r="AS6" s="33"/>
      <c r="AT6" s="33"/>
      <c r="AU6" s="33"/>
      <c r="AV6" s="33"/>
      <c r="AW6" s="33"/>
      <c r="AX6" s="33"/>
      <c r="AY6" s="33"/>
      <c r="AZ6" s="33"/>
      <c r="BA6" s="33"/>
      <c r="BB6" s="33"/>
      <c r="BC6" s="33"/>
      <c r="BD6" s="33"/>
      <c r="BH6" s="33"/>
      <c r="BI6" s="33"/>
      <c r="BJ6" s="33"/>
      <c r="BK6" s="33"/>
      <c r="BL6" s="33"/>
      <c r="BM6" s="33"/>
      <c r="BN6" s="33"/>
      <c r="BO6" s="33"/>
      <c r="BP6" s="33"/>
      <c r="BQ6" s="33"/>
      <c r="BR6" s="33"/>
      <c r="BS6" s="33"/>
      <c r="BT6" s="33"/>
      <c r="BU6" s="33"/>
      <c r="BV6" s="33"/>
    </row>
    <row r="7" spans="1:79" s="4" customFormat="1" ht="15.75" customHeight="1">
      <c r="A7" s="25" t="s">
        <v>45</v>
      </c>
      <c r="B7" s="25"/>
      <c r="C7" s="25"/>
      <c r="D7" s="25"/>
      <c r="E7" s="25"/>
      <c r="F7" s="25"/>
      <c r="G7" s="25"/>
      <c r="H7" s="25"/>
      <c r="I7" s="25"/>
      <c r="J7" s="24" t="s">
        <v>46</v>
      </c>
      <c r="K7" s="24"/>
      <c r="L7" s="24"/>
      <c r="M7" s="24"/>
      <c r="N7" s="85"/>
      <c r="O7" s="24"/>
      <c r="P7" s="24"/>
      <c r="Q7" s="24"/>
      <c r="R7" s="24"/>
      <c r="S7" s="24"/>
      <c r="T7" s="24"/>
      <c r="U7" s="24"/>
      <c r="V7" s="22" t="s">
        <v>22</v>
      </c>
      <c r="W7" s="22"/>
      <c r="X7" s="22"/>
      <c r="Y7" s="22"/>
      <c r="Z7" s="22"/>
      <c r="AA7" s="23"/>
      <c r="AB7" s="23"/>
      <c r="AC7" s="23"/>
      <c r="AD7" s="23"/>
      <c r="AE7" s="23"/>
      <c r="AF7" s="23"/>
      <c r="AG7" s="23"/>
      <c r="AH7" s="23"/>
      <c r="AI7" s="23"/>
      <c r="AJ7" s="23"/>
      <c r="AK7" s="30"/>
      <c r="AL7" s="30"/>
      <c r="AM7" s="30"/>
      <c r="AN7" s="30"/>
      <c r="AO7" s="30"/>
      <c r="AP7" s="23"/>
      <c r="AQ7" s="23"/>
      <c r="AR7" s="23"/>
      <c r="AS7" s="23"/>
      <c r="AT7" s="23"/>
      <c r="AU7" s="23"/>
      <c r="AV7" s="23"/>
      <c r="AW7" s="23"/>
      <c r="AX7" s="23"/>
      <c r="AY7" s="23"/>
      <c r="AZ7" s="23"/>
      <c r="BA7" s="23"/>
      <c r="BB7" s="23"/>
      <c r="BC7" s="23"/>
      <c r="BD7" s="23"/>
      <c r="BE7" s="23"/>
      <c r="BF7" s="30"/>
      <c r="BG7" s="23"/>
      <c r="BH7" s="23"/>
      <c r="BI7" s="23"/>
      <c r="BJ7" s="23"/>
      <c r="BK7" s="23"/>
      <c r="BL7" s="23"/>
      <c r="BM7" s="23"/>
      <c r="BN7" s="23"/>
      <c r="BO7" s="23"/>
      <c r="BP7" s="23"/>
      <c r="BQ7" s="23"/>
      <c r="BR7" s="23"/>
      <c r="BS7" s="23"/>
      <c r="BT7" s="23"/>
      <c r="BU7" s="23"/>
      <c r="BV7" s="23"/>
      <c r="BW7" s="23"/>
      <c r="BX7" s="23"/>
      <c r="BY7" s="23"/>
      <c r="BZ7" s="23"/>
      <c r="CA7" s="23"/>
    </row>
    <row r="8" spans="1:79" s="4" customFormat="1" ht="15.75" customHeight="1">
      <c r="A8" s="257"/>
      <c r="B8" s="273" t="s">
        <v>266</v>
      </c>
      <c r="C8" s="257"/>
      <c r="D8" s="257"/>
      <c r="E8" s="257"/>
      <c r="F8" s="257"/>
      <c r="G8" s="257"/>
      <c r="H8" s="257"/>
      <c r="I8" s="257"/>
      <c r="N8" s="5"/>
      <c r="AA8" s="5"/>
      <c r="AB8" s="5"/>
      <c r="AC8" s="5"/>
      <c r="AD8" s="5"/>
      <c r="AE8" s="5"/>
      <c r="AF8" s="5"/>
      <c r="AG8" s="5"/>
      <c r="AH8" s="5"/>
      <c r="AI8" s="5"/>
      <c r="AJ8" s="5"/>
      <c r="AK8" s="260"/>
      <c r="AL8" s="260"/>
      <c r="AM8" s="260"/>
      <c r="AN8" s="260"/>
      <c r="AO8" s="260"/>
      <c r="AP8" s="5"/>
      <c r="AQ8" s="5"/>
      <c r="AR8" s="5"/>
      <c r="AS8" s="5"/>
      <c r="AT8" s="5"/>
      <c r="AU8" s="5"/>
      <c r="AV8" s="5"/>
      <c r="AW8" s="5"/>
      <c r="AX8" s="5"/>
      <c r="AY8" s="5"/>
      <c r="AZ8" s="5"/>
      <c r="BA8" s="5"/>
      <c r="BB8" s="5"/>
      <c r="BC8" s="5"/>
      <c r="BD8" s="5"/>
      <c r="BE8" s="5"/>
      <c r="BF8" s="260"/>
      <c r="BG8" s="5"/>
      <c r="BH8" s="5"/>
      <c r="BI8" s="5"/>
      <c r="BJ8" s="5"/>
      <c r="BK8" s="5"/>
      <c r="BL8" s="5"/>
      <c r="BM8" s="5"/>
      <c r="BN8" s="5"/>
      <c r="BO8" s="5"/>
      <c r="BP8" s="5"/>
      <c r="BQ8" s="5"/>
      <c r="BR8" s="5"/>
      <c r="BS8" s="5"/>
      <c r="BT8" s="5"/>
      <c r="BU8" s="5"/>
      <c r="BV8" s="5"/>
      <c r="BW8" s="5"/>
      <c r="BX8" s="5"/>
      <c r="BY8" s="5"/>
      <c r="BZ8" s="5"/>
      <c r="CA8" s="5"/>
    </row>
    <row r="9" spans="1:79" ht="15.75" customHeight="1" thickBot="1">
      <c r="W9" s="55" t="s">
        <v>15</v>
      </c>
      <c r="X9" s="50"/>
      <c r="Y9" s="50"/>
      <c r="AC9" s="8" t="s">
        <v>47</v>
      </c>
    </row>
    <row r="10" spans="1:79" ht="15.75" customHeight="1">
      <c r="D10" t="s">
        <v>19</v>
      </c>
      <c r="K10" s="19"/>
      <c r="L10" s="19"/>
      <c r="M10" s="19"/>
      <c r="N10" s="19" t="s">
        <v>19</v>
      </c>
      <c r="O10" s="19"/>
      <c r="P10" s="19"/>
      <c r="Q10" s="19" t="s">
        <v>20</v>
      </c>
      <c r="R10" s="19"/>
      <c r="S10" s="19"/>
      <c r="T10" s="19"/>
      <c r="U10" s="19"/>
      <c r="W10" s="10" t="s">
        <v>16</v>
      </c>
      <c r="X10" s="11" t="s">
        <v>245</v>
      </c>
      <c r="Y10" s="12" t="s">
        <v>6</v>
      </c>
      <c r="AC10" s="9" t="s">
        <v>17</v>
      </c>
      <c r="BQ10" s="5"/>
      <c r="BR10" s="5"/>
      <c r="BS10" s="5"/>
      <c r="BT10" s="5"/>
      <c r="BY10" s="5"/>
    </row>
    <row r="11" spans="1:79" ht="15.75" customHeight="1" thickBot="1">
      <c r="A11" s="4" t="s">
        <v>60</v>
      </c>
      <c r="J11" s="4" t="s">
        <v>60</v>
      </c>
      <c r="W11" s="173">
        <f>AL58-BC58</f>
        <v>765.96701276294016</v>
      </c>
      <c r="X11" s="174">
        <f>AM58-BD58</f>
        <v>-96.747369432843243</v>
      </c>
      <c r="Y11" s="57">
        <f>X11/AM58</f>
        <v>3.4295553080792712E-2</v>
      </c>
      <c r="AC11" s="167">
        <f>XIRR(BV17:BV56,V17:V56)</f>
        <v>3.1046405434608459E-2</v>
      </c>
      <c r="AD11" s="56" t="s">
        <v>78</v>
      </c>
      <c r="BQ11" s="5"/>
      <c r="BR11" s="5"/>
      <c r="BS11" s="5"/>
      <c r="BT11" s="5"/>
      <c r="BY11" s="5"/>
    </row>
    <row r="12" spans="1:79" ht="15.75" customHeight="1">
      <c r="AA12"/>
      <c r="AB12"/>
      <c r="AC12"/>
      <c r="AD12"/>
    </row>
    <row r="13" spans="1:79" ht="15.75" customHeight="1">
      <c r="B13" t="s">
        <v>150</v>
      </c>
      <c r="F13" s="29" t="s">
        <v>153</v>
      </c>
      <c r="J13" t="s">
        <v>150</v>
      </c>
      <c r="O13" t="s">
        <v>151</v>
      </c>
      <c r="P13" t="s">
        <v>152</v>
      </c>
      <c r="Q13" t="s">
        <v>153</v>
      </c>
      <c r="V13" s="5" t="s">
        <v>244</v>
      </c>
      <c r="W13" s="5" t="s">
        <v>9</v>
      </c>
      <c r="X13" s="5" t="s">
        <v>3</v>
      </c>
      <c r="Y13" s="59" t="s">
        <v>0</v>
      </c>
      <c r="Z13" s="60"/>
      <c r="AA13" s="60"/>
      <c r="AB13" s="60"/>
      <c r="AC13" s="60"/>
      <c r="AD13" s="60"/>
      <c r="AE13" s="60"/>
      <c r="AF13" s="60"/>
      <c r="AG13" s="60"/>
      <c r="AH13" s="60"/>
      <c r="AI13" s="60"/>
      <c r="AJ13" s="103"/>
      <c r="AK13" s="146" t="s">
        <v>38</v>
      </c>
      <c r="AL13" s="147"/>
      <c r="AM13" s="96"/>
      <c r="AN13" s="32"/>
      <c r="AO13" s="208" t="s">
        <v>1</v>
      </c>
      <c r="AP13" s="209"/>
      <c r="AQ13" s="209"/>
      <c r="AR13" s="209"/>
      <c r="AS13" s="209"/>
      <c r="AT13" s="209"/>
      <c r="AU13" s="209"/>
      <c r="AV13" s="209"/>
      <c r="AW13" s="209"/>
      <c r="AX13" s="209"/>
      <c r="AY13" s="209"/>
      <c r="AZ13" s="209"/>
      <c r="BA13" s="209"/>
      <c r="BB13" s="209"/>
      <c r="BC13" s="210"/>
      <c r="BD13" s="211" t="s">
        <v>14</v>
      </c>
      <c r="BE13" s="33"/>
      <c r="BF13" s="19"/>
      <c r="BH13" s="65" t="s">
        <v>2</v>
      </c>
      <c r="BI13" s="66"/>
      <c r="BJ13" s="66"/>
      <c r="BK13" s="66"/>
      <c r="BL13" s="66"/>
      <c r="BM13" s="66"/>
      <c r="BN13" s="66"/>
      <c r="BO13" s="66"/>
      <c r="BP13" s="66"/>
      <c r="BQ13" s="66"/>
      <c r="BR13" s="66"/>
      <c r="BS13" s="66"/>
      <c r="BT13" s="66"/>
      <c r="BU13" s="66"/>
      <c r="BV13" s="136"/>
      <c r="BX13" s="84" t="s">
        <v>75</v>
      </c>
      <c r="BY13" s="84" t="s">
        <v>274</v>
      </c>
    </row>
    <row r="14" spans="1:79" ht="15.75" customHeight="1">
      <c r="B14" t="s">
        <v>154</v>
      </c>
      <c r="D14" t="s">
        <v>49</v>
      </c>
      <c r="F14" s="134" t="s">
        <v>199</v>
      </c>
      <c r="Y14" s="59" t="s">
        <v>12</v>
      </c>
      <c r="Z14" s="60"/>
      <c r="AA14" s="60"/>
      <c r="AB14" s="60"/>
      <c r="AC14" s="61"/>
      <c r="AD14" s="59" t="s">
        <v>13</v>
      </c>
      <c r="AE14" s="60"/>
      <c r="AF14" s="60"/>
      <c r="AG14" s="60"/>
      <c r="AH14" s="60"/>
      <c r="AI14" s="144"/>
      <c r="AJ14" s="105" t="s">
        <v>14</v>
      </c>
      <c r="AK14" s="96"/>
      <c r="AL14" s="34"/>
      <c r="AM14" s="107" t="s">
        <v>14</v>
      </c>
      <c r="AN14" s="32"/>
      <c r="AO14" s="63" t="s">
        <v>12</v>
      </c>
      <c r="AP14" s="62"/>
      <c r="AQ14" s="62"/>
      <c r="AR14" s="62"/>
      <c r="AS14" s="64"/>
      <c r="AT14" s="62" t="s">
        <v>13</v>
      </c>
      <c r="AU14" s="62"/>
      <c r="AV14" s="62"/>
      <c r="AW14" s="62"/>
      <c r="AX14" s="62"/>
      <c r="AY14" s="62"/>
      <c r="AZ14" s="62"/>
      <c r="BA14" s="62"/>
      <c r="BB14" s="64"/>
      <c r="BC14" s="35" t="s">
        <v>14</v>
      </c>
      <c r="BD14" s="35" t="s">
        <v>56</v>
      </c>
      <c r="BE14" s="33"/>
      <c r="BF14" s="19"/>
      <c r="BH14" s="65" t="s">
        <v>12</v>
      </c>
      <c r="BI14" s="66"/>
      <c r="BJ14" s="66"/>
      <c r="BK14" s="66"/>
      <c r="BL14" s="66"/>
      <c r="BM14" s="66"/>
      <c r="BN14" s="67"/>
      <c r="BO14" s="65" t="s">
        <v>13</v>
      </c>
      <c r="BP14" s="66"/>
      <c r="BQ14" s="66"/>
      <c r="BR14" s="66"/>
      <c r="BS14" s="66"/>
      <c r="BT14" s="66"/>
      <c r="BU14" s="67"/>
      <c r="BV14" s="44" t="s">
        <v>14</v>
      </c>
      <c r="BX14" s="91"/>
      <c r="BY14" s="288" t="s">
        <v>275</v>
      </c>
    </row>
    <row r="15" spans="1:79" s="242" customFormat="1" ht="32.25" customHeight="1">
      <c r="Y15" s="39" t="s">
        <v>4</v>
      </c>
      <c r="Z15" s="40" t="s">
        <v>30</v>
      </c>
      <c r="AA15" s="40" t="s">
        <v>31</v>
      </c>
      <c r="AB15" s="40" t="s">
        <v>247</v>
      </c>
      <c r="AC15" s="41" t="s">
        <v>36</v>
      </c>
      <c r="AD15" s="39" t="s">
        <v>248</v>
      </c>
      <c r="AE15" s="40" t="s">
        <v>33</v>
      </c>
      <c r="AF15" s="40" t="s">
        <v>219</v>
      </c>
      <c r="AG15" s="40" t="s">
        <v>34</v>
      </c>
      <c r="AH15" s="40" t="s">
        <v>35</v>
      </c>
      <c r="AI15" s="42" t="s">
        <v>37</v>
      </c>
      <c r="AJ15" s="97"/>
      <c r="AK15" s="83" t="s">
        <v>271</v>
      </c>
      <c r="AL15" s="42" t="s">
        <v>97</v>
      </c>
      <c r="AM15" s="109" t="s">
        <v>56</v>
      </c>
      <c r="AN15" s="32"/>
      <c r="AO15" s="86" t="s">
        <v>4</v>
      </c>
      <c r="AP15" s="87" t="s">
        <v>30</v>
      </c>
      <c r="AQ15" s="87" t="s">
        <v>31</v>
      </c>
      <c r="AR15" s="87" t="s">
        <v>246</v>
      </c>
      <c r="AS15" s="43" t="s">
        <v>36</v>
      </c>
      <c r="AT15" s="87" t="s">
        <v>61</v>
      </c>
      <c r="AU15" s="87" t="s">
        <v>41</v>
      </c>
      <c r="AV15" s="87" t="s">
        <v>42</v>
      </c>
      <c r="AW15" s="87" t="s">
        <v>249</v>
      </c>
      <c r="AX15" s="87" t="s">
        <v>258</v>
      </c>
      <c r="AY15" s="87" t="s">
        <v>168</v>
      </c>
      <c r="AZ15" s="87" t="s">
        <v>34</v>
      </c>
      <c r="BA15" s="87" t="s">
        <v>35</v>
      </c>
      <c r="BB15" s="43" t="s">
        <v>37</v>
      </c>
      <c r="BC15" s="88"/>
      <c r="BD15" s="43"/>
      <c r="BE15" s="33"/>
      <c r="BF15" s="262" t="s">
        <v>55</v>
      </c>
      <c r="BG15" s="33"/>
      <c r="BH15" s="45" t="s">
        <v>62</v>
      </c>
      <c r="BI15" s="37" t="s">
        <v>41</v>
      </c>
      <c r="BJ15" s="37" t="s">
        <v>42</v>
      </c>
      <c r="BK15" s="37" t="s">
        <v>249</v>
      </c>
      <c r="BL15" s="37" t="s">
        <v>250</v>
      </c>
      <c r="BM15" s="37" t="s">
        <v>247</v>
      </c>
      <c r="BN15" s="38" t="s">
        <v>36</v>
      </c>
      <c r="BO15" s="37" t="s">
        <v>32</v>
      </c>
      <c r="BP15" s="37" t="s">
        <v>54</v>
      </c>
      <c r="BQ15" s="37" t="s">
        <v>74</v>
      </c>
      <c r="BR15" s="37" t="s">
        <v>39</v>
      </c>
      <c r="BS15" s="37" t="s">
        <v>277</v>
      </c>
      <c r="BT15" s="37" t="s">
        <v>251</v>
      </c>
      <c r="BU15" s="38" t="s">
        <v>37</v>
      </c>
      <c r="BV15" s="38"/>
      <c r="BW15" s="33"/>
      <c r="BX15" s="92"/>
      <c r="BY15" s="287">
        <f>IF(SUM(BY17:BY46)=0,0,1)</f>
        <v>0</v>
      </c>
      <c r="BZ15" s="33"/>
    </row>
    <row r="16" spans="1:79" ht="15.75" customHeight="1">
      <c r="B16" t="s">
        <v>155</v>
      </c>
      <c r="C16" t="s">
        <v>27</v>
      </c>
      <c r="D16" t="s">
        <v>7</v>
      </c>
      <c r="F16" s="1">
        <v>3</v>
      </c>
      <c r="J16" s="258" t="s">
        <v>156</v>
      </c>
      <c r="K16" s="242"/>
      <c r="L16" s="242"/>
      <c r="M16" s="242"/>
      <c r="N16" s="33" t="s">
        <v>7</v>
      </c>
      <c r="O16" s="261">
        <f>SUM(F16:F17)</f>
        <v>23</v>
      </c>
      <c r="V16" s="104"/>
      <c r="Y16" s="170"/>
      <c r="Z16" s="152"/>
      <c r="AA16" s="152"/>
      <c r="AB16" s="152"/>
      <c r="AC16" s="152"/>
      <c r="AD16" s="152"/>
      <c r="AE16" s="152"/>
      <c r="AF16" s="152"/>
      <c r="AG16" s="237"/>
      <c r="AH16" s="152"/>
      <c r="AI16" s="152"/>
      <c r="AJ16" s="152"/>
      <c r="AK16" s="166"/>
      <c r="AL16" s="169">
        <f>-SUM(BS17,SUM(BR17:BR46),O105,O110)</f>
        <v>-822.17346740250525</v>
      </c>
      <c r="AM16" s="158">
        <f>AL16*BF16</f>
        <v>-822.17346740250525</v>
      </c>
      <c r="AN16" s="166"/>
      <c r="AO16" s="151"/>
      <c r="AP16" s="152"/>
      <c r="AQ16" s="152"/>
      <c r="AR16" s="152"/>
      <c r="AS16" s="152"/>
      <c r="AT16" s="152"/>
      <c r="AU16" s="152"/>
      <c r="AV16" s="152"/>
      <c r="AW16" s="152"/>
      <c r="AX16" s="237"/>
      <c r="AY16" s="152"/>
      <c r="AZ16" s="237"/>
      <c r="BA16" s="152"/>
      <c r="BB16" s="152"/>
      <c r="BC16" s="152"/>
      <c r="BD16" s="171"/>
      <c r="BE16" s="31"/>
      <c r="BF16" s="106">
        <v>1</v>
      </c>
      <c r="BH16" s="151"/>
      <c r="BI16" s="152"/>
      <c r="BJ16" s="152"/>
      <c r="BK16" s="152"/>
      <c r="BL16" s="152"/>
      <c r="BM16" s="152"/>
      <c r="BN16" s="152"/>
      <c r="BO16" s="152"/>
      <c r="BP16" s="152"/>
      <c r="BQ16" s="152"/>
      <c r="BR16" s="152"/>
      <c r="BS16" s="152"/>
      <c r="BT16" s="152"/>
      <c r="BU16" s="152"/>
      <c r="BV16" s="152"/>
      <c r="BW16" s="153"/>
      <c r="BX16" s="154"/>
      <c r="BY16" s="283"/>
      <c r="CA16"/>
    </row>
    <row r="17" spans="1:79" ht="15.75" customHeight="1">
      <c r="C17" t="s">
        <v>28</v>
      </c>
      <c r="D17" t="s">
        <v>7</v>
      </c>
      <c r="F17" s="1">
        <v>20</v>
      </c>
      <c r="J17" s="114"/>
      <c r="V17" s="58">
        <f>IF(W17=1,DATE(YEAR($F$18)+(MONTH($F$18)&gt;=4),4,0),EOMONTH(V15,12))</f>
        <v>45747</v>
      </c>
      <c r="W17" s="6">
        <v>1</v>
      </c>
      <c r="X17" s="282" t="str">
        <f>IF(W17&gt;$O$16,"-",IF($W17&lt;=$F$16,"整備期間","維持管理・運営期間"))</f>
        <v>整備期間</v>
      </c>
      <c r="Y17" s="161">
        <f t="shared" ref="Y17:Y56" si="0">IF($W17=$F$16,$O$61,0)</f>
        <v>0</v>
      </c>
      <c r="Z17" s="159">
        <f t="shared" ref="Z17:Z56" si="1">IF($W17=$F$16,$O$63,0)</f>
        <v>0</v>
      </c>
      <c r="AA17" s="159">
        <f t="shared" ref="AA17:AA56" si="2">IF($W17=$F$16,$O$62,0)</f>
        <v>0</v>
      </c>
      <c r="AB17" s="159">
        <f t="shared" ref="AB17:AB46" si="3">IF(X17="維持管理・運営期間",$F$56,0)</f>
        <v>0</v>
      </c>
      <c r="AC17" s="160">
        <f>SUM(Y17:Z17,AB17)</f>
        <v>0</v>
      </c>
      <c r="AD17" s="161">
        <f t="shared" ref="AD17:AD56" si="4">IF($W17=$F$16,$O$30,0)</f>
        <v>0</v>
      </c>
      <c r="AE17" s="159">
        <f t="shared" ref="AE17:AE56" si="5">IF($X17="維持管理・運営期間",$O$41,0)</f>
        <v>0</v>
      </c>
      <c r="AF17" s="159">
        <f>IF(AND($W17&gt;0,$W17&lt;=$O$16),$E$45,0)</f>
        <v>10</v>
      </c>
      <c r="AG17" s="277">
        <f>IF(AND(SUM($AA$16:AA16)&gt;0,SUM($AG$16:AG16)&lt;$O$62,$W17&gt;=$O$65),$O$64,0)</f>
        <v>0</v>
      </c>
      <c r="AH17" s="230">
        <f>IF(SUM($AA16:$AA$17)&gt;0,($O$62-SUM($AG16:$AG$17))*$E$65,0)</f>
        <v>0</v>
      </c>
      <c r="AI17" s="160">
        <f>SUM(AD17:AF17)</f>
        <v>10</v>
      </c>
      <c r="AJ17" s="159">
        <f t="shared" ref="AJ17:AJ46" si="6">AC17-AI17</f>
        <v>-10</v>
      </c>
      <c r="AK17" s="162"/>
      <c r="AL17" s="163"/>
      <c r="AM17" s="160">
        <f t="shared" ref="AM17:AM46" si="7">AJ17*$BF17</f>
        <v>-9.6665055582406971</v>
      </c>
      <c r="AN17" s="164"/>
      <c r="AO17" s="161">
        <f t="shared" ref="AO17:AO56" si="8">IF($W17=$F$16,$P$61,0)</f>
        <v>0</v>
      </c>
      <c r="AP17" s="159">
        <f t="shared" ref="AP17:AP56" si="9">IF($W17=$F$16,$P$63,0)</f>
        <v>0</v>
      </c>
      <c r="AQ17" s="159">
        <f t="shared" ref="AQ17:AQ56" si="10">IF($W17=$F$16,$P$62,0)</f>
        <v>0</v>
      </c>
      <c r="AR17" s="159">
        <f t="shared" ref="AR17:AR46" si="11">IF($W17&lt;$O$16,IF(W17=$F$16,$U$92,$U$93),0)</f>
        <v>0</v>
      </c>
      <c r="AS17" s="160">
        <f>SUM(AO17:AP17,AR17)</f>
        <v>0</v>
      </c>
      <c r="AT17" s="159">
        <f t="shared" ref="AT17:AT46" si="12">IF(W17=$F$16,$P$30,0)</f>
        <v>0</v>
      </c>
      <c r="AU17" s="159">
        <f t="shared" ref="AU17:AU56" si="13">IFERROR(-PPMT($P$36,W17-$F$16,$F$17,SUM(P$31,P$51)),0)</f>
        <v>0</v>
      </c>
      <c r="AV17" s="159">
        <f t="shared" ref="AV17:AV56" si="14">IFERROR(-IPMT($P$36,W17-$F$16,$F$17,SUM($P$31,$P$51)),0)</f>
        <v>0</v>
      </c>
      <c r="AW17" s="159">
        <f>IF(AND(W17&gt;$F$16,W17&lt;=SUM($F$16:$F$17)),$P$43,0)</f>
        <v>0</v>
      </c>
      <c r="AX17" s="278">
        <f>IF($W17=1,$F$44,0)+IF(AND($W17&gt;0,$W17&lt;=$O$16),$F$45,0)</f>
        <v>31</v>
      </c>
      <c r="AY17" s="279">
        <f t="shared" ref="AY17:AY56" si="15">IF(AND(W17&gt;$F$16,W17&lt;=SUM($F$16:$F$17)),$P$54,0)</f>
        <v>0</v>
      </c>
      <c r="AZ17" s="278">
        <f>IF(AND(SUM($AQ$16:AQ16)&gt;0,SUM($AZ$16:AZ16)&lt;$P$62,$W17&gt;=$P$65),$P$64,0)</f>
        <v>0</v>
      </c>
      <c r="BA17" s="159">
        <f>IF(SUM($AQ16:$AQ$17)&gt;0,($P$62-SUM($AZ16:$AZ$17))*$F$65,0)</f>
        <v>0</v>
      </c>
      <c r="BB17" s="160">
        <f>SUM(AT17:AY17)</f>
        <v>31</v>
      </c>
      <c r="BC17" s="159">
        <f>AS17-BB17</f>
        <v>-31</v>
      </c>
      <c r="BD17" s="160">
        <f t="shared" ref="BD17:BD46" si="16">BC17*$BF17</f>
        <v>-29.966167230546159</v>
      </c>
      <c r="BE17" s="48"/>
      <c r="BF17" s="46">
        <f>1/(1+$O$22)</f>
        <v>0.96665055582406967</v>
      </c>
      <c r="BH17" s="155">
        <f>AT17</f>
        <v>0</v>
      </c>
      <c r="BI17" s="155">
        <f>AU17</f>
        <v>0</v>
      </c>
      <c r="BJ17" s="156">
        <f>AV17</f>
        <v>0</v>
      </c>
      <c r="BK17" s="156">
        <f>AW17</f>
        <v>0</v>
      </c>
      <c r="BL17" s="156">
        <f>AY17</f>
        <v>0</v>
      </c>
      <c r="BM17" s="156">
        <f t="shared" ref="BM17:BM46" si="17">IF($W17&gt;$F$16,$F$56,0)</f>
        <v>0</v>
      </c>
      <c r="BN17" s="157">
        <f>SUM(BH17:BM17)</f>
        <v>0</v>
      </c>
      <c r="BO17" s="156">
        <f t="shared" ref="BO17:BO56" si="18">IF($W17=$F$16,$P$32,0)</f>
        <v>0</v>
      </c>
      <c r="BP17" s="156">
        <f t="shared" ref="BP17:BP46" si="19">IF(AND(W17&gt;$F$16,W17&lt;=SUM($F$16:$F$17)),$P$41,0)</f>
        <v>0</v>
      </c>
      <c r="BQ17" s="280">
        <f t="shared" ref="BQ17:BQ56" si="20">IFERROR(-IPMT($P$67,W17-$F$16,$F$17,SUM(P$31,P$51)),0)</f>
        <v>0</v>
      </c>
      <c r="BR17" s="156">
        <f t="shared" ref="BR17:BR46" si="21">IF($W17&lt;=$O$16,$F$105,0)</f>
        <v>12</v>
      </c>
      <c r="BS17" s="228">
        <f>IF($W17=1,SUM($O$103,$O$105),0)</f>
        <v>200</v>
      </c>
      <c r="BT17" s="156" cm="1">
        <f t="array" ref="BT17">IF($W17&lt;=$O$16,_xlfn.IFS(W17&lt;$F$16,$P$92,W17=$F$16,$P$93,W17&gt;$F$16,$P$94),0)</f>
        <v>0.18</v>
      </c>
      <c r="BU17" s="157">
        <f>SUM(BO17:BP17,BR17:BT17)</f>
        <v>212.18</v>
      </c>
      <c r="BV17" s="157">
        <f t="shared" ref="BV17:BV46" si="22">BN17-BU17</f>
        <v>-212.18</v>
      </c>
      <c r="BW17" s="153"/>
      <c r="BX17" s="169">
        <f t="shared" ref="BX17:BX56" si="23">IFERROR(-PPMT($P$67,$W17-$F$16,$F$17,SUM(P$31,P$51)),0)</f>
        <v>0</v>
      </c>
      <c r="BY17" s="284"/>
      <c r="CA17"/>
    </row>
    <row r="18" spans="1:79" ht="15.75" customHeight="1">
      <c r="C18" t="s">
        <v>63</v>
      </c>
      <c r="F18" s="68">
        <v>45383</v>
      </c>
      <c r="J18" s="114"/>
      <c r="V18" s="58">
        <f t="shared" ref="V18:V46" si="24">IF(W18=1,DATE(YEAR($F$18)+(MONTH($F$18)&gt;=4),4,0),EOMONTH(V17,12))</f>
        <v>46112</v>
      </c>
      <c r="W18" s="7">
        <v>2</v>
      </c>
      <c r="X18" s="282" t="str">
        <f t="shared" ref="X18:X56" si="25">IF(W18&gt;$O$16,"-",IF($W18&lt;=$F$16,"整備期間","維持管理・運営期間"))</f>
        <v>整備期間</v>
      </c>
      <c r="Y18" s="161">
        <f t="shared" si="0"/>
        <v>0</v>
      </c>
      <c r="Z18" s="159">
        <f t="shared" si="1"/>
        <v>0</v>
      </c>
      <c r="AA18" s="159">
        <f t="shared" si="2"/>
        <v>0</v>
      </c>
      <c r="AB18" s="159">
        <f t="shared" si="3"/>
        <v>0</v>
      </c>
      <c r="AC18" s="160">
        <f t="shared" ref="AC18:AC46" si="26">SUM(Y18:Z18,AB18)</f>
        <v>0</v>
      </c>
      <c r="AD18" s="161">
        <f t="shared" si="4"/>
        <v>0</v>
      </c>
      <c r="AE18" s="159">
        <f t="shared" si="5"/>
        <v>0</v>
      </c>
      <c r="AF18" s="159">
        <f t="shared" ref="AF18:AF56" si="27">IF(AND($W18&gt;0,$W18&lt;=$O$16),$E$45,0)</f>
        <v>10</v>
      </c>
      <c r="AG18" s="277">
        <f>IF(AND(SUM($AA$16:AA17)&gt;0,SUM($AG$16:AG17)&lt;$O$62,$W18&gt;=$O$65),$O$64,0)</f>
        <v>0</v>
      </c>
      <c r="AH18" s="228">
        <f>IF(SUM($AA17:$AA$17)&gt;0,($O$62-SUM($AG17:$AG$17))*$E$65,0)</f>
        <v>0</v>
      </c>
      <c r="AI18" s="160">
        <f t="shared" ref="AI18:AI46" si="28">SUM(AD18:AF18)</f>
        <v>10</v>
      </c>
      <c r="AJ18" s="156">
        <f t="shared" si="6"/>
        <v>-10</v>
      </c>
      <c r="AK18" s="162"/>
      <c r="AL18" s="163"/>
      <c r="AM18" s="157">
        <f t="shared" si="7"/>
        <v>-9.3441329707498273</v>
      </c>
      <c r="AN18" s="164"/>
      <c r="AO18" s="155">
        <f t="shared" si="8"/>
        <v>0</v>
      </c>
      <c r="AP18" s="156">
        <f t="shared" si="9"/>
        <v>0</v>
      </c>
      <c r="AQ18" s="156">
        <f t="shared" si="10"/>
        <v>0</v>
      </c>
      <c r="AR18" s="159">
        <f t="shared" si="11"/>
        <v>0</v>
      </c>
      <c r="AS18" s="160">
        <f t="shared" ref="AS18:AS46" si="29">SUM(AO18:AP18,AR18)</f>
        <v>0</v>
      </c>
      <c r="AT18" s="159">
        <f t="shared" si="12"/>
        <v>0</v>
      </c>
      <c r="AU18" s="159">
        <f t="shared" si="13"/>
        <v>0</v>
      </c>
      <c r="AV18" s="159">
        <f t="shared" si="14"/>
        <v>0</v>
      </c>
      <c r="AW18" s="159">
        <f t="shared" ref="AW18:AW46" si="30">IF(AND(W18&gt;$F$16,W18&lt;=SUM($F$16:$F$17)),$P$43,0)</f>
        <v>0</v>
      </c>
      <c r="AX18" s="278">
        <f t="shared" ref="AX18:AX56" si="31">IF($W18=1,$F$44,0)+IF(AND($W18&gt;0,$W18&lt;=$O$16),$F$45,0)</f>
        <v>6</v>
      </c>
      <c r="AY18" s="279">
        <f t="shared" si="15"/>
        <v>0</v>
      </c>
      <c r="AZ18" s="278">
        <f>IF(AND(SUM($AQ$16:AQ17)&gt;0,SUM($AZ$16:AZ17)&lt;$P$62,$W18&gt;=$P$65),$P$64,0)</f>
        <v>0</v>
      </c>
      <c r="BA18" s="159">
        <f>IF(SUM($AQ17:$AQ$17)&gt;0,($P$62-SUM($AZ17:$AZ$17))*$F$65,0)</f>
        <v>0</v>
      </c>
      <c r="BB18" s="160">
        <f t="shared" ref="BB18:BB46" si="32">SUM(AT18:AY18)</f>
        <v>6</v>
      </c>
      <c r="BC18" s="156">
        <f t="shared" ref="BC18:BC46" si="33">AS18-BB18</f>
        <v>-6</v>
      </c>
      <c r="BD18" s="157">
        <f t="shared" si="16"/>
        <v>-5.6064797824498971</v>
      </c>
      <c r="BE18" s="48"/>
      <c r="BF18" s="46">
        <f t="shared" ref="BF18:BF56" si="34">BF17/(1+$O$22)</f>
        <v>0.93441329707498277</v>
      </c>
      <c r="BH18" s="155">
        <f t="shared" ref="BH18:BH46" si="35">AT18</f>
        <v>0</v>
      </c>
      <c r="BI18" s="155">
        <f t="shared" ref="BI18:BI46" si="36">AU18</f>
        <v>0</v>
      </c>
      <c r="BJ18" s="156">
        <f t="shared" ref="BJ18:BJ46" si="37">AV18</f>
        <v>0</v>
      </c>
      <c r="BK18" s="156">
        <f t="shared" ref="BK18:BK46" si="38">AW18</f>
        <v>0</v>
      </c>
      <c r="BL18" s="156">
        <f t="shared" ref="BL18:BL46" si="39">AY18</f>
        <v>0</v>
      </c>
      <c r="BM18" s="156">
        <f t="shared" si="17"/>
        <v>0</v>
      </c>
      <c r="BN18" s="157">
        <f t="shared" ref="BN18:BN46" si="40">SUM(BH18:BM18)</f>
        <v>0</v>
      </c>
      <c r="BO18" s="156">
        <f t="shared" si="18"/>
        <v>0</v>
      </c>
      <c r="BP18" s="156">
        <f t="shared" si="19"/>
        <v>0</v>
      </c>
      <c r="BQ18" s="280">
        <f t="shared" si="20"/>
        <v>0</v>
      </c>
      <c r="BR18" s="156">
        <f t="shared" si="21"/>
        <v>12</v>
      </c>
      <c r="BS18" s="228">
        <f t="shared" ref="BS18:BS56" si="41">IF($W18=1,SUM($O$103,$O$105),0)</f>
        <v>0</v>
      </c>
      <c r="BT18" s="156" cm="1">
        <f t="array" ref="BT18">IF($W18&lt;=$O$16,_xlfn.IFS(W18&lt;$F$16,$P$92,W18=$F$16,$P$93,W18&gt;$F$16,$P$94),0)</f>
        <v>0.18</v>
      </c>
      <c r="BU18" s="157">
        <f t="shared" ref="BU18:BU46" si="42">SUM(BO18:BP18,BR18:BT18)</f>
        <v>12.18</v>
      </c>
      <c r="BV18" s="157">
        <f t="shared" si="22"/>
        <v>-12.18</v>
      </c>
      <c r="BW18" s="153"/>
      <c r="BX18" s="169">
        <f t="shared" si="23"/>
        <v>0</v>
      </c>
      <c r="BY18" s="285"/>
      <c r="CA18"/>
    </row>
    <row r="19" spans="1:79" ht="15.75" customHeight="1">
      <c r="C19" t="s">
        <v>64</v>
      </c>
      <c r="F19" s="137">
        <f>EOMONTH(F18,12*F16-1)</f>
        <v>46477</v>
      </c>
      <c r="J19" s="114"/>
      <c r="V19" s="58">
        <f t="shared" si="24"/>
        <v>46477</v>
      </c>
      <c r="W19" s="7">
        <v>3</v>
      </c>
      <c r="X19" s="282" t="str">
        <f t="shared" si="25"/>
        <v>整備期間</v>
      </c>
      <c r="Y19" s="161">
        <f t="shared" si="0"/>
        <v>1140</v>
      </c>
      <c r="Z19" s="159">
        <f t="shared" si="1"/>
        <v>384.75</v>
      </c>
      <c r="AA19" s="159">
        <f t="shared" si="2"/>
        <v>1282.5</v>
      </c>
      <c r="AB19" s="159">
        <f t="shared" si="3"/>
        <v>0</v>
      </c>
      <c r="AC19" s="160">
        <f t="shared" si="26"/>
        <v>1524.75</v>
      </c>
      <c r="AD19" s="161">
        <f t="shared" si="4"/>
        <v>2850</v>
      </c>
      <c r="AE19" s="159">
        <f t="shared" si="5"/>
        <v>0</v>
      </c>
      <c r="AF19" s="159">
        <f t="shared" si="27"/>
        <v>10</v>
      </c>
      <c r="AG19" s="277">
        <f>IF(AND(SUM($AA$16:AA18)&gt;0,SUM($AG$16:AG18)&lt;$O$62,$W19&gt;=$O$65),$O$64,0)</f>
        <v>0</v>
      </c>
      <c r="AH19" s="228">
        <f>IF(SUM($AA$17:$AA18)&gt;0,($O$62-SUM($AG$17:$AG18))*$E$65,0)</f>
        <v>0</v>
      </c>
      <c r="AI19" s="160">
        <f t="shared" si="28"/>
        <v>2860</v>
      </c>
      <c r="AJ19" s="156">
        <f t="shared" si="6"/>
        <v>-1335.25</v>
      </c>
      <c r="AK19" s="162"/>
      <c r="AL19" s="163"/>
      <c r="AM19" s="157">
        <f t="shared" si="7"/>
        <v>-1206.0660753208031</v>
      </c>
      <c r="AN19" s="164"/>
      <c r="AO19" s="155">
        <f t="shared" si="8"/>
        <v>960</v>
      </c>
      <c r="AP19" s="156">
        <f t="shared" si="9"/>
        <v>54</v>
      </c>
      <c r="AQ19" s="156">
        <f t="shared" si="10"/>
        <v>180</v>
      </c>
      <c r="AR19" s="159">
        <f t="shared" si="11"/>
        <v>33.6</v>
      </c>
      <c r="AS19" s="160">
        <f t="shared" si="29"/>
        <v>1047.5999999999999</v>
      </c>
      <c r="AT19" s="159">
        <f t="shared" si="12"/>
        <v>1200</v>
      </c>
      <c r="AU19" s="159">
        <f t="shared" si="13"/>
        <v>0</v>
      </c>
      <c r="AV19" s="159">
        <f t="shared" si="14"/>
        <v>0</v>
      </c>
      <c r="AW19" s="159">
        <f t="shared" si="30"/>
        <v>0</v>
      </c>
      <c r="AX19" s="278">
        <f t="shared" si="31"/>
        <v>6</v>
      </c>
      <c r="AY19" s="279">
        <f t="shared" si="15"/>
        <v>0</v>
      </c>
      <c r="AZ19" s="278">
        <f>IF(AND(SUM($AQ$16:AQ18)&gt;0,SUM($AZ$16:AZ18)&lt;$P$62,$W19&gt;=$P$65),$P$64,0)</f>
        <v>0</v>
      </c>
      <c r="BA19" s="159">
        <f>IF(SUM($AQ$17:$AQ18)&gt;0,($P$62-SUM($AZ$17:$AZ18))*$F$65,0)</f>
        <v>0</v>
      </c>
      <c r="BB19" s="160">
        <f t="shared" si="32"/>
        <v>1206</v>
      </c>
      <c r="BC19" s="156">
        <f t="shared" si="33"/>
        <v>-158.40000000000009</v>
      </c>
      <c r="BD19" s="157">
        <f t="shared" si="16"/>
        <v>-143.07497946513035</v>
      </c>
      <c r="BE19" s="48"/>
      <c r="BF19" s="46">
        <f t="shared" si="34"/>
        <v>0.9032511329869336</v>
      </c>
      <c r="BH19" s="155">
        <f t="shared" si="35"/>
        <v>1200</v>
      </c>
      <c r="BI19" s="155">
        <f t="shared" si="36"/>
        <v>0</v>
      </c>
      <c r="BJ19" s="156">
        <f t="shared" si="37"/>
        <v>0</v>
      </c>
      <c r="BK19" s="156">
        <f t="shared" si="38"/>
        <v>0</v>
      </c>
      <c r="BL19" s="156">
        <f t="shared" si="39"/>
        <v>0</v>
      </c>
      <c r="BM19" s="156">
        <f t="shared" si="17"/>
        <v>0</v>
      </c>
      <c r="BN19" s="157">
        <f t="shared" si="40"/>
        <v>1200</v>
      </c>
      <c r="BO19" s="156">
        <f t="shared" si="18"/>
        <v>2400</v>
      </c>
      <c r="BP19" s="156">
        <f t="shared" si="19"/>
        <v>0</v>
      </c>
      <c r="BQ19" s="280">
        <f t="shared" si="20"/>
        <v>0</v>
      </c>
      <c r="BR19" s="156">
        <f t="shared" si="21"/>
        <v>12</v>
      </c>
      <c r="BS19" s="228">
        <f t="shared" si="41"/>
        <v>0</v>
      </c>
      <c r="BT19" s="156" cm="1">
        <f t="array" ref="BT19">IF($W19&lt;=$O$16,_xlfn.IFS(W19&lt;$F$16,$P$92,W19=$F$16,$P$93,W19&gt;$F$16,$P$94),0)</f>
        <v>105.78</v>
      </c>
      <c r="BU19" s="157">
        <f t="shared" si="42"/>
        <v>2517.7800000000002</v>
      </c>
      <c r="BV19" s="157">
        <f t="shared" si="22"/>
        <v>-1317.7800000000002</v>
      </c>
      <c r="BW19" s="153"/>
      <c r="BX19" s="169">
        <f t="shared" si="23"/>
        <v>0</v>
      </c>
      <c r="BY19" s="285"/>
      <c r="CA19"/>
    </row>
    <row r="20" spans="1:79" ht="15.75" customHeight="1">
      <c r="C20" t="s">
        <v>65</v>
      </c>
      <c r="F20" s="137">
        <f>F19+1</f>
        <v>46478</v>
      </c>
      <c r="V20" s="58">
        <f t="shared" si="24"/>
        <v>46843</v>
      </c>
      <c r="W20" s="7">
        <v>4</v>
      </c>
      <c r="X20" s="282" t="str">
        <f t="shared" si="25"/>
        <v>維持管理・運営期間</v>
      </c>
      <c r="Y20" s="161">
        <f t="shared" si="0"/>
        <v>0</v>
      </c>
      <c r="Z20" s="159">
        <f t="shared" si="1"/>
        <v>0</v>
      </c>
      <c r="AA20" s="159">
        <f t="shared" si="2"/>
        <v>0</v>
      </c>
      <c r="AB20" s="159">
        <f t="shared" si="3"/>
        <v>0</v>
      </c>
      <c r="AC20" s="160">
        <f t="shared" si="26"/>
        <v>0</v>
      </c>
      <c r="AD20" s="161">
        <f t="shared" si="4"/>
        <v>0</v>
      </c>
      <c r="AE20" s="159">
        <f t="shared" si="5"/>
        <v>50</v>
      </c>
      <c r="AF20" s="159">
        <f t="shared" si="27"/>
        <v>10</v>
      </c>
      <c r="AG20" s="277">
        <f>IF(AND(SUM($AA$16:AA19)&gt;0,SUM($AG$16:AG19)&lt;$O$62,$W20&gt;=$O$65),$O$64,0)</f>
        <v>0</v>
      </c>
      <c r="AH20" s="228">
        <f>IF(SUM($AA$17:$AA19)&gt;0,($O$62-SUM($AG$17:$AG19))*$E$65,0)</f>
        <v>19.237500000000001</v>
      </c>
      <c r="AI20" s="160">
        <f t="shared" si="28"/>
        <v>60</v>
      </c>
      <c r="AJ20" s="156">
        <f t="shared" si="6"/>
        <v>-60</v>
      </c>
      <c r="AK20" s="158">
        <f>(SUM($P$31,$P$51)-SUM($AU$17:AU19))*$O$109</f>
        <v>20.905809999999999</v>
      </c>
      <c r="AL20" s="163"/>
      <c r="AM20" s="157">
        <f t="shared" si="7"/>
        <v>-52.387692585032397</v>
      </c>
      <c r="AN20" s="164"/>
      <c r="AO20" s="155">
        <f t="shared" si="8"/>
        <v>0</v>
      </c>
      <c r="AP20" s="156">
        <f t="shared" si="9"/>
        <v>0</v>
      </c>
      <c r="AQ20" s="156">
        <f t="shared" si="10"/>
        <v>0</v>
      </c>
      <c r="AR20" s="159">
        <f t="shared" si="11"/>
        <v>0</v>
      </c>
      <c r="AS20" s="160">
        <f t="shared" si="29"/>
        <v>0</v>
      </c>
      <c r="AT20" s="159">
        <f t="shared" si="12"/>
        <v>0</v>
      </c>
      <c r="AU20" s="159">
        <f t="shared" si="13"/>
        <v>48.669214008272256</v>
      </c>
      <c r="AV20" s="159">
        <f t="shared" si="14"/>
        <v>56.950310000000002</v>
      </c>
      <c r="AW20" s="159">
        <f t="shared" si="30"/>
        <v>40</v>
      </c>
      <c r="AX20" s="278">
        <f t="shared" si="31"/>
        <v>6</v>
      </c>
      <c r="AY20" s="279">
        <f t="shared" si="15"/>
        <v>45.78</v>
      </c>
      <c r="AZ20" s="278">
        <f>IF(AND(SUM($AQ$16:AQ19)&gt;0,SUM($AZ$16:AZ19)&lt;$P$62,$W20&gt;=$P$65),$P$64,0)</f>
        <v>0</v>
      </c>
      <c r="BA20" s="159">
        <f>IF(SUM($AQ$17:$AQ19)&gt;0,($P$62-SUM($AZ$17:$AZ19))*$F$65,0)</f>
        <v>2.6999999999999997</v>
      </c>
      <c r="BB20" s="160">
        <f t="shared" si="32"/>
        <v>197.39952400827227</v>
      </c>
      <c r="BC20" s="156">
        <f t="shared" si="33"/>
        <v>-197.39952400827227</v>
      </c>
      <c r="BD20" s="157">
        <f t="shared" si="16"/>
        <v>-172.35509300295149</v>
      </c>
      <c r="BE20" s="48"/>
      <c r="BF20" s="46">
        <f t="shared" si="34"/>
        <v>0.87312820975053995</v>
      </c>
      <c r="BH20" s="155">
        <f t="shared" si="35"/>
        <v>0</v>
      </c>
      <c r="BI20" s="155">
        <f t="shared" si="36"/>
        <v>48.669214008272256</v>
      </c>
      <c r="BJ20" s="156">
        <f t="shared" si="37"/>
        <v>56.950310000000002</v>
      </c>
      <c r="BK20" s="156">
        <f t="shared" si="38"/>
        <v>40</v>
      </c>
      <c r="BL20" s="156">
        <f t="shared" si="39"/>
        <v>45.78</v>
      </c>
      <c r="BM20" s="156">
        <f t="shared" si="17"/>
        <v>0</v>
      </c>
      <c r="BN20" s="157">
        <f t="shared" si="40"/>
        <v>191.39952400827227</v>
      </c>
      <c r="BO20" s="156">
        <f t="shared" si="18"/>
        <v>0</v>
      </c>
      <c r="BP20" s="156">
        <f t="shared" si="19"/>
        <v>40</v>
      </c>
      <c r="BQ20" s="280">
        <f t="shared" si="20"/>
        <v>42.532509999999995</v>
      </c>
      <c r="BR20" s="156">
        <f t="shared" si="21"/>
        <v>12</v>
      </c>
      <c r="BS20" s="228">
        <f t="shared" si="41"/>
        <v>0</v>
      </c>
      <c r="BT20" s="156" cm="1">
        <f t="array" ref="BT20">IF($W20&lt;=$O$16,_xlfn.IFS(W20&lt;$F$16,$P$92,W20=$F$16,$P$93,W20&gt;$F$16,$P$94),0)</f>
        <v>33.78</v>
      </c>
      <c r="BU20" s="157">
        <f t="shared" si="42"/>
        <v>85.78</v>
      </c>
      <c r="BV20" s="157">
        <f t="shared" si="22"/>
        <v>105.61952400827226</v>
      </c>
      <c r="BW20" s="153"/>
      <c r="BX20" s="169">
        <f t="shared" si="23"/>
        <v>53.930315123764174</v>
      </c>
      <c r="BY20" s="286">
        <f>IF(BV20-BX20&gt;=0,0,1)</f>
        <v>0</v>
      </c>
      <c r="CA20"/>
    </row>
    <row r="21" spans="1:79" ht="15.75" customHeight="1">
      <c r="C21" t="s">
        <v>66</v>
      </c>
      <c r="F21" s="137">
        <f>EOMONTH(F20,12*F17-1)</f>
        <v>53782</v>
      </c>
      <c r="V21" s="58">
        <f t="shared" si="24"/>
        <v>47208</v>
      </c>
      <c r="W21" s="7">
        <v>5</v>
      </c>
      <c r="X21" s="282" t="str">
        <f t="shared" si="25"/>
        <v>維持管理・運営期間</v>
      </c>
      <c r="Y21" s="161">
        <f t="shared" si="0"/>
        <v>0</v>
      </c>
      <c r="Z21" s="159">
        <f t="shared" si="1"/>
        <v>0</v>
      </c>
      <c r="AA21" s="159">
        <f t="shared" si="2"/>
        <v>0</v>
      </c>
      <c r="AB21" s="159">
        <f t="shared" si="3"/>
        <v>0</v>
      </c>
      <c r="AC21" s="160">
        <f t="shared" si="26"/>
        <v>0</v>
      </c>
      <c r="AD21" s="161">
        <f t="shared" si="4"/>
        <v>0</v>
      </c>
      <c r="AE21" s="159">
        <f t="shared" si="5"/>
        <v>50</v>
      </c>
      <c r="AF21" s="159">
        <f t="shared" si="27"/>
        <v>10</v>
      </c>
      <c r="AG21" s="277">
        <f>IF(AND(SUM($AA$16:AA20)&gt;0,SUM($AG$16:AG20)&lt;$O$62,$W21&gt;=$O$65),$O$64,0)</f>
        <v>0</v>
      </c>
      <c r="AH21" s="228">
        <f>IF(SUM($AA$17:$AA20)&gt;0,($O$62-SUM($AG$17:$AG20))*$E$65,0)</f>
        <v>19.237500000000001</v>
      </c>
      <c r="AI21" s="160">
        <f t="shared" si="28"/>
        <v>60</v>
      </c>
      <c r="AJ21" s="156">
        <f t="shared" si="6"/>
        <v>-60</v>
      </c>
      <c r="AK21" s="158">
        <f>(SUM($P$31,$P$51)-SUM($AU$17:AU20))*$O$109</f>
        <v>20.200106396880049</v>
      </c>
      <c r="AL21" s="163"/>
      <c r="AM21" s="157">
        <f t="shared" si="7"/>
        <v>-50.640592155662056</v>
      </c>
      <c r="AN21" s="164"/>
      <c r="AO21" s="155">
        <f t="shared" si="8"/>
        <v>0</v>
      </c>
      <c r="AP21" s="156">
        <f t="shared" si="9"/>
        <v>0</v>
      </c>
      <c r="AQ21" s="156">
        <f t="shared" si="10"/>
        <v>0</v>
      </c>
      <c r="AR21" s="159">
        <f t="shared" si="11"/>
        <v>0</v>
      </c>
      <c r="AS21" s="160">
        <f t="shared" si="29"/>
        <v>0</v>
      </c>
      <c r="AT21" s="159">
        <f t="shared" si="12"/>
        <v>0</v>
      </c>
      <c r="AU21" s="159">
        <f t="shared" si="13"/>
        <v>50.591647961599016</v>
      </c>
      <c r="AV21" s="159">
        <f t="shared" si="14"/>
        <v>55.027876046673242</v>
      </c>
      <c r="AW21" s="159">
        <f t="shared" si="30"/>
        <v>40</v>
      </c>
      <c r="AX21" s="278">
        <f t="shared" si="31"/>
        <v>6</v>
      </c>
      <c r="AY21" s="279">
        <f t="shared" si="15"/>
        <v>45.78</v>
      </c>
      <c r="AZ21" s="278">
        <f>IF(AND(SUM($AQ$16:AQ20)&gt;0,SUM($AZ$16:AZ20)&lt;$P$62,$W21&gt;=$P$65),$P$64,0)</f>
        <v>0</v>
      </c>
      <c r="BA21" s="159">
        <f>IF(SUM($AQ$17:$AQ20)&gt;0,($P$62-SUM($AZ$17:$AZ20))*$F$65,0)</f>
        <v>2.6999999999999997</v>
      </c>
      <c r="BB21" s="160">
        <f t="shared" si="32"/>
        <v>197.39952400827227</v>
      </c>
      <c r="BC21" s="156">
        <f t="shared" si="33"/>
        <v>-197.39952400827227</v>
      </c>
      <c r="BD21" s="157">
        <f t="shared" si="16"/>
        <v>-166.60714645041227</v>
      </c>
      <c r="BE21" s="48"/>
      <c r="BF21" s="46">
        <f t="shared" si="34"/>
        <v>0.84400986926103427</v>
      </c>
      <c r="BH21" s="155">
        <f t="shared" si="35"/>
        <v>0</v>
      </c>
      <c r="BI21" s="155">
        <f t="shared" si="36"/>
        <v>50.591647961599016</v>
      </c>
      <c r="BJ21" s="156">
        <f t="shared" si="37"/>
        <v>55.027876046673242</v>
      </c>
      <c r="BK21" s="156">
        <f t="shared" si="38"/>
        <v>40</v>
      </c>
      <c r="BL21" s="156">
        <f t="shared" si="39"/>
        <v>45.78</v>
      </c>
      <c r="BM21" s="156">
        <f t="shared" si="17"/>
        <v>0</v>
      </c>
      <c r="BN21" s="157">
        <f t="shared" si="40"/>
        <v>191.39952400827227</v>
      </c>
      <c r="BO21" s="156">
        <f t="shared" si="18"/>
        <v>0</v>
      </c>
      <c r="BP21" s="156">
        <f t="shared" si="19"/>
        <v>40</v>
      </c>
      <c r="BQ21" s="280">
        <f t="shared" si="20"/>
        <v>40.941565703848944</v>
      </c>
      <c r="BR21" s="156">
        <f t="shared" si="21"/>
        <v>12</v>
      </c>
      <c r="BS21" s="228">
        <f t="shared" si="41"/>
        <v>0</v>
      </c>
      <c r="BT21" s="156" cm="1">
        <f t="array" ref="BT21">IF($W21&lt;=$O$16,_xlfn.IFS(W21&lt;$F$16,$P$92,W21=$F$16,$P$93,W21&gt;$F$16,$P$94),0)</f>
        <v>33.78</v>
      </c>
      <c r="BU21" s="157">
        <f t="shared" si="42"/>
        <v>85.78</v>
      </c>
      <c r="BV21" s="157">
        <f t="shared" si="22"/>
        <v>105.61952400827226</v>
      </c>
      <c r="BW21" s="153"/>
      <c r="BX21" s="169">
        <f t="shared" si="23"/>
        <v>55.521259419915218</v>
      </c>
      <c r="BY21" s="286">
        <f t="shared" ref="BY21:BY56" si="43">IF(BV21-BX21&gt;=0,0,1)</f>
        <v>0</v>
      </c>
      <c r="CA21"/>
    </row>
    <row r="22" spans="1:79" ht="15.75" customHeight="1">
      <c r="B22" s="56" t="s">
        <v>179</v>
      </c>
      <c r="C22" s="19"/>
      <c r="I22" s="72"/>
      <c r="J22" s="4" t="s">
        <v>179</v>
      </c>
      <c r="N22" s="19" t="s">
        <v>6</v>
      </c>
      <c r="O22" s="36">
        <f>SUM(F23:F24)</f>
        <v>3.4499999999999996E-2</v>
      </c>
      <c r="V22" s="58">
        <f t="shared" si="24"/>
        <v>47573</v>
      </c>
      <c r="W22" s="7">
        <v>6</v>
      </c>
      <c r="X22" s="282" t="str">
        <f t="shared" si="25"/>
        <v>維持管理・運営期間</v>
      </c>
      <c r="Y22" s="161">
        <f t="shared" si="0"/>
        <v>0</v>
      </c>
      <c r="Z22" s="159">
        <f t="shared" si="1"/>
        <v>0</v>
      </c>
      <c r="AA22" s="159">
        <f t="shared" si="2"/>
        <v>0</v>
      </c>
      <c r="AB22" s="159">
        <f t="shared" si="3"/>
        <v>0</v>
      </c>
      <c r="AC22" s="160">
        <f t="shared" si="26"/>
        <v>0</v>
      </c>
      <c r="AD22" s="161">
        <f t="shared" si="4"/>
        <v>0</v>
      </c>
      <c r="AE22" s="159">
        <f t="shared" si="5"/>
        <v>50</v>
      </c>
      <c r="AF22" s="159">
        <f t="shared" si="27"/>
        <v>10</v>
      </c>
      <c r="AG22" s="277">
        <f>IF(AND(SUM($AA$16:AA21)&gt;0,SUM($AG$16:AG21)&lt;$O$62,$W22&gt;=$O$65),$O$64,0)</f>
        <v>0</v>
      </c>
      <c r="AH22" s="228">
        <f>IF(SUM($AA$17:$AA21)&gt;0,($O$62-SUM($AG$17:$AG21))*$E$65,0)</f>
        <v>19.237500000000001</v>
      </c>
      <c r="AI22" s="160">
        <f t="shared" si="28"/>
        <v>60</v>
      </c>
      <c r="AJ22" s="156">
        <f t="shared" si="6"/>
        <v>-60</v>
      </c>
      <c r="AK22" s="158">
        <f>(SUM($P$31,$P$51)-SUM($AU$17:AU21))*$O$109</f>
        <v>19.466527501436865</v>
      </c>
      <c r="AL22" s="163"/>
      <c r="AM22" s="157">
        <f t="shared" si="7"/>
        <v>-48.951756554530746</v>
      </c>
      <c r="AN22" s="164"/>
      <c r="AO22" s="155">
        <f t="shared" si="8"/>
        <v>0</v>
      </c>
      <c r="AP22" s="156">
        <f t="shared" si="9"/>
        <v>0</v>
      </c>
      <c r="AQ22" s="156">
        <f t="shared" si="10"/>
        <v>0</v>
      </c>
      <c r="AR22" s="159">
        <f t="shared" si="11"/>
        <v>0</v>
      </c>
      <c r="AS22" s="160">
        <f t="shared" si="29"/>
        <v>0</v>
      </c>
      <c r="AT22" s="159">
        <f t="shared" si="12"/>
        <v>0</v>
      </c>
      <c r="AU22" s="159">
        <f t="shared" si="13"/>
        <v>52.590018056082172</v>
      </c>
      <c r="AV22" s="159">
        <f t="shared" si="14"/>
        <v>53.029505952190092</v>
      </c>
      <c r="AW22" s="159">
        <f t="shared" si="30"/>
        <v>40</v>
      </c>
      <c r="AX22" s="278">
        <f t="shared" si="31"/>
        <v>6</v>
      </c>
      <c r="AY22" s="279">
        <f t="shared" si="15"/>
        <v>45.78</v>
      </c>
      <c r="AZ22" s="278">
        <f>IF(AND(SUM($AQ$16:AQ21)&gt;0,SUM($AZ$16:AZ21)&lt;$P$62,$W22&gt;=$P$65),$P$64,0)</f>
        <v>0</v>
      </c>
      <c r="BA22" s="159">
        <f>IF(SUM($AQ$17:$AQ21)&gt;0,($P$62-SUM($AZ$17:$AZ21))*$F$65,0)</f>
        <v>2.6999999999999997</v>
      </c>
      <c r="BB22" s="160">
        <f t="shared" si="32"/>
        <v>197.39952400827227</v>
      </c>
      <c r="BC22" s="156">
        <f t="shared" si="33"/>
        <v>-197.39952400827227</v>
      </c>
      <c r="BD22" s="157">
        <f t="shared" si="16"/>
        <v>-161.05089072055318</v>
      </c>
      <c r="BE22" s="48"/>
      <c r="BF22" s="46">
        <f t="shared" si="34"/>
        <v>0.81586260924217913</v>
      </c>
      <c r="BH22" s="155">
        <f t="shared" si="35"/>
        <v>0</v>
      </c>
      <c r="BI22" s="155">
        <f t="shared" si="36"/>
        <v>52.590018056082172</v>
      </c>
      <c r="BJ22" s="156">
        <f t="shared" si="37"/>
        <v>53.029505952190092</v>
      </c>
      <c r="BK22" s="156">
        <f t="shared" si="38"/>
        <v>40</v>
      </c>
      <c r="BL22" s="156">
        <f t="shared" si="39"/>
        <v>45.78</v>
      </c>
      <c r="BM22" s="156">
        <f t="shared" si="17"/>
        <v>0</v>
      </c>
      <c r="BN22" s="157">
        <f t="shared" si="40"/>
        <v>191.39952400827227</v>
      </c>
      <c r="BO22" s="156">
        <f t="shared" si="18"/>
        <v>0</v>
      </c>
      <c r="BP22" s="156">
        <f t="shared" si="19"/>
        <v>40</v>
      </c>
      <c r="BQ22" s="280">
        <f t="shared" si="20"/>
        <v>39.303688550961446</v>
      </c>
      <c r="BR22" s="156">
        <f t="shared" si="21"/>
        <v>12</v>
      </c>
      <c r="BS22" s="228">
        <f t="shared" si="41"/>
        <v>0</v>
      </c>
      <c r="BT22" s="156" cm="1">
        <f t="array" ref="BT22">IF($W22&lt;=$O$16,_xlfn.IFS(W22&lt;$F$16,$P$92,W22=$F$16,$P$93,W22&gt;$F$16,$P$94),0)</f>
        <v>33.78</v>
      </c>
      <c r="BU22" s="157">
        <f t="shared" si="42"/>
        <v>85.78</v>
      </c>
      <c r="BV22" s="157">
        <f t="shared" si="22"/>
        <v>105.61952400827226</v>
      </c>
      <c r="BW22" s="153"/>
      <c r="BX22" s="169">
        <f t="shared" si="23"/>
        <v>57.159136572802716</v>
      </c>
      <c r="BY22" s="286">
        <f t="shared" si="43"/>
        <v>0</v>
      </c>
      <c r="CA22"/>
    </row>
    <row r="23" spans="1:79" ht="15.75" customHeight="1">
      <c r="C23" t="s">
        <v>180</v>
      </c>
      <c r="F23" s="15">
        <v>1.4500000000000001E-2</v>
      </c>
      <c r="H23" t="s">
        <v>178</v>
      </c>
      <c r="V23" s="58">
        <f t="shared" si="24"/>
        <v>47938</v>
      </c>
      <c r="W23" s="7">
        <v>7</v>
      </c>
      <c r="X23" s="282" t="str">
        <f t="shared" si="25"/>
        <v>維持管理・運営期間</v>
      </c>
      <c r="Y23" s="161">
        <f t="shared" si="0"/>
        <v>0</v>
      </c>
      <c r="Z23" s="159">
        <f t="shared" si="1"/>
        <v>0</v>
      </c>
      <c r="AA23" s="159">
        <f t="shared" si="2"/>
        <v>0</v>
      </c>
      <c r="AB23" s="159">
        <f t="shared" si="3"/>
        <v>0</v>
      </c>
      <c r="AC23" s="160">
        <f t="shared" si="26"/>
        <v>0</v>
      </c>
      <c r="AD23" s="161">
        <f t="shared" si="4"/>
        <v>0</v>
      </c>
      <c r="AE23" s="159">
        <f t="shared" si="5"/>
        <v>50</v>
      </c>
      <c r="AF23" s="159">
        <f t="shared" si="27"/>
        <v>10</v>
      </c>
      <c r="AG23" s="277">
        <f>IF(AND(SUM($AA$16:AA22)&gt;0,SUM($AG$16:AG22)&lt;$O$62,$W23&gt;=$O$65),$O$64,0)</f>
        <v>64.125</v>
      </c>
      <c r="AH23" s="228">
        <f>IF(SUM($AA$17:$AA22)&gt;0,($O$62-SUM($AG$17:$AG22))*$E$65,0)</f>
        <v>19.237500000000001</v>
      </c>
      <c r="AI23" s="160">
        <f t="shared" si="28"/>
        <v>60</v>
      </c>
      <c r="AJ23" s="156">
        <f t="shared" si="6"/>
        <v>-60</v>
      </c>
      <c r="AK23" s="158">
        <f>(SUM($P$31,$P$51)-SUM($AU$17:AU22))*$O$109</f>
        <v>18.703972239623671</v>
      </c>
      <c r="AL23" s="163"/>
      <c r="AM23" s="157">
        <f t="shared" si="7"/>
        <v>-47.319242682001693</v>
      </c>
      <c r="AN23" s="164"/>
      <c r="AO23" s="155">
        <f t="shared" si="8"/>
        <v>0</v>
      </c>
      <c r="AP23" s="156">
        <f t="shared" si="9"/>
        <v>0</v>
      </c>
      <c r="AQ23" s="156">
        <f t="shared" si="10"/>
        <v>0</v>
      </c>
      <c r="AR23" s="159">
        <f t="shared" si="11"/>
        <v>0</v>
      </c>
      <c r="AS23" s="160">
        <f t="shared" si="29"/>
        <v>0</v>
      </c>
      <c r="AT23" s="159">
        <f t="shared" si="12"/>
        <v>0</v>
      </c>
      <c r="AU23" s="159">
        <f t="shared" si="13"/>
        <v>54.667323769297418</v>
      </c>
      <c r="AV23" s="159">
        <f t="shared" si="14"/>
        <v>50.952200238974847</v>
      </c>
      <c r="AW23" s="159">
        <f t="shared" si="30"/>
        <v>40</v>
      </c>
      <c r="AX23" s="278">
        <f t="shared" si="31"/>
        <v>6</v>
      </c>
      <c r="AY23" s="279">
        <f t="shared" si="15"/>
        <v>45.78</v>
      </c>
      <c r="AZ23" s="278">
        <f>IF(AND(SUM($AQ$16:AQ22)&gt;0,SUM($AZ$16:AZ22)&lt;$P$62,$W23&gt;=$P$65),$P$64,0)</f>
        <v>9</v>
      </c>
      <c r="BA23" s="159">
        <f>IF(SUM($AQ$17:$AQ22)&gt;0,($P$62-SUM($AZ$17:$AZ22))*$F$65,0)</f>
        <v>2.6999999999999997</v>
      </c>
      <c r="BB23" s="160">
        <f t="shared" si="32"/>
        <v>197.39952400827227</v>
      </c>
      <c r="BC23" s="156">
        <f t="shared" si="33"/>
        <v>-197.39952400827227</v>
      </c>
      <c r="BD23" s="157">
        <f t="shared" si="16"/>
        <v>-155.67993303098424</v>
      </c>
      <c r="BE23" s="48"/>
      <c r="BF23" s="46">
        <f t="shared" si="34"/>
        <v>0.7886540447000282</v>
      </c>
      <c r="BH23" s="155">
        <f t="shared" si="35"/>
        <v>0</v>
      </c>
      <c r="BI23" s="155">
        <f t="shared" si="36"/>
        <v>54.667323769297418</v>
      </c>
      <c r="BJ23" s="156">
        <f t="shared" si="37"/>
        <v>50.952200238974847</v>
      </c>
      <c r="BK23" s="156">
        <f t="shared" si="38"/>
        <v>40</v>
      </c>
      <c r="BL23" s="156">
        <f t="shared" si="39"/>
        <v>45.78</v>
      </c>
      <c r="BM23" s="156">
        <f t="shared" si="17"/>
        <v>0</v>
      </c>
      <c r="BN23" s="157">
        <f t="shared" si="40"/>
        <v>191.39952400827227</v>
      </c>
      <c r="BO23" s="156">
        <f t="shared" si="18"/>
        <v>0</v>
      </c>
      <c r="BP23" s="156">
        <f t="shared" si="19"/>
        <v>40</v>
      </c>
      <c r="BQ23" s="280">
        <f t="shared" si="20"/>
        <v>37.617494022063781</v>
      </c>
      <c r="BR23" s="156">
        <f t="shared" si="21"/>
        <v>12</v>
      </c>
      <c r="BS23" s="228">
        <f t="shared" si="41"/>
        <v>0</v>
      </c>
      <c r="BT23" s="156" cm="1">
        <f t="array" ref="BT23">IF($W23&lt;=$O$16,_xlfn.IFS(W23&lt;$F$16,$P$92,W23=$F$16,$P$93,W23&gt;$F$16,$P$94),0)</f>
        <v>33.78</v>
      </c>
      <c r="BU23" s="157">
        <f t="shared" si="42"/>
        <v>85.78</v>
      </c>
      <c r="BV23" s="157">
        <f t="shared" si="22"/>
        <v>105.61952400827226</v>
      </c>
      <c r="BW23" s="153"/>
      <c r="BX23" s="169">
        <f t="shared" si="23"/>
        <v>58.845331101700395</v>
      </c>
      <c r="BY23" s="286">
        <f t="shared" si="43"/>
        <v>0</v>
      </c>
      <c r="CA23"/>
    </row>
    <row r="24" spans="1:79" ht="15.75" customHeight="1">
      <c r="C24" t="s">
        <v>26</v>
      </c>
      <c r="F24" s="198">
        <f>事業費用概算!J34</f>
        <v>1.9999999999999997E-2</v>
      </c>
      <c r="V24" s="58">
        <f t="shared" si="24"/>
        <v>48304</v>
      </c>
      <c r="W24" s="7">
        <v>8</v>
      </c>
      <c r="X24" s="282" t="str">
        <f t="shared" si="25"/>
        <v>維持管理・運営期間</v>
      </c>
      <c r="Y24" s="161">
        <f t="shared" si="0"/>
        <v>0</v>
      </c>
      <c r="Z24" s="159">
        <f t="shared" si="1"/>
        <v>0</v>
      </c>
      <c r="AA24" s="159">
        <f t="shared" si="2"/>
        <v>0</v>
      </c>
      <c r="AB24" s="159">
        <f t="shared" si="3"/>
        <v>0</v>
      </c>
      <c r="AC24" s="160">
        <f t="shared" si="26"/>
        <v>0</v>
      </c>
      <c r="AD24" s="161">
        <f t="shared" si="4"/>
        <v>0</v>
      </c>
      <c r="AE24" s="159">
        <f t="shared" si="5"/>
        <v>50</v>
      </c>
      <c r="AF24" s="159">
        <f t="shared" si="27"/>
        <v>10</v>
      </c>
      <c r="AG24" s="277">
        <f>IF(AND(SUM($AA$16:AA23)&gt;0,SUM($AG$16:AG23)&lt;$O$62,$W24&gt;=$O$65),$O$64,0)</f>
        <v>64.125</v>
      </c>
      <c r="AH24" s="228">
        <f>IF(SUM($AA$17:$AA23)&gt;0,($O$62-SUM($AG$17:$AG23))*$E$65,0)</f>
        <v>18.275624999999998</v>
      </c>
      <c r="AI24" s="160">
        <f t="shared" si="28"/>
        <v>60</v>
      </c>
      <c r="AJ24" s="156">
        <f t="shared" si="6"/>
        <v>-60</v>
      </c>
      <c r="AK24" s="158">
        <f>(SUM($P$31,$P$51)-SUM($AU$17:AU23))*$O$109</f>
        <v>17.911296044968861</v>
      </c>
      <c r="AL24" s="163"/>
      <c r="AM24" s="157">
        <f t="shared" si="7"/>
        <v>-45.741172239730979</v>
      </c>
      <c r="AN24" s="164"/>
      <c r="AO24" s="155">
        <f t="shared" si="8"/>
        <v>0</v>
      </c>
      <c r="AP24" s="156">
        <f t="shared" si="9"/>
        <v>0</v>
      </c>
      <c r="AQ24" s="156">
        <f t="shared" si="10"/>
        <v>0</v>
      </c>
      <c r="AR24" s="159">
        <f t="shared" si="11"/>
        <v>0</v>
      </c>
      <c r="AS24" s="160">
        <f t="shared" si="29"/>
        <v>0</v>
      </c>
      <c r="AT24" s="159">
        <f t="shared" si="12"/>
        <v>0</v>
      </c>
      <c r="AU24" s="159">
        <f t="shared" si="13"/>
        <v>56.826683058184663</v>
      </c>
      <c r="AV24" s="159">
        <f t="shared" si="14"/>
        <v>48.79284095008758</v>
      </c>
      <c r="AW24" s="159">
        <f t="shared" si="30"/>
        <v>40</v>
      </c>
      <c r="AX24" s="278">
        <f t="shared" si="31"/>
        <v>6</v>
      </c>
      <c r="AY24" s="279">
        <f t="shared" si="15"/>
        <v>45.78</v>
      </c>
      <c r="AZ24" s="278">
        <f>IF(AND(SUM($AQ$16:AQ23)&gt;0,SUM($AZ$16:AZ23)&lt;$P$62,$W24&gt;=$P$65),$P$64,0)</f>
        <v>9</v>
      </c>
      <c r="BA24" s="159">
        <f>IF(SUM($AQ$17:$AQ23)&gt;0,($P$62-SUM($AZ$17:$AZ23))*$F$65,0)</f>
        <v>2.5649999999999999</v>
      </c>
      <c r="BB24" s="160">
        <f t="shared" si="32"/>
        <v>197.39952400827224</v>
      </c>
      <c r="BC24" s="156">
        <f t="shared" si="33"/>
        <v>-197.39952400827224</v>
      </c>
      <c r="BD24" s="157">
        <f t="shared" si="16"/>
        <v>-150.48809379505485</v>
      </c>
      <c r="BE24" s="48"/>
      <c r="BF24" s="46">
        <f t="shared" si="34"/>
        <v>0.76235287066218294</v>
      </c>
      <c r="BH24" s="155">
        <f t="shared" si="35"/>
        <v>0</v>
      </c>
      <c r="BI24" s="155">
        <f t="shared" si="36"/>
        <v>56.826683058184663</v>
      </c>
      <c r="BJ24" s="156">
        <f t="shared" si="37"/>
        <v>48.79284095008758</v>
      </c>
      <c r="BK24" s="156">
        <f t="shared" si="38"/>
        <v>40</v>
      </c>
      <c r="BL24" s="156">
        <f t="shared" si="39"/>
        <v>45.78</v>
      </c>
      <c r="BM24" s="156">
        <f t="shared" si="17"/>
        <v>0</v>
      </c>
      <c r="BN24" s="157">
        <f t="shared" si="40"/>
        <v>191.39952400827224</v>
      </c>
      <c r="BO24" s="156">
        <f t="shared" si="18"/>
        <v>0</v>
      </c>
      <c r="BP24" s="156">
        <f t="shared" si="19"/>
        <v>40</v>
      </c>
      <c r="BQ24" s="280">
        <f t="shared" si="20"/>
        <v>35.881556754563611</v>
      </c>
      <c r="BR24" s="156">
        <f t="shared" si="21"/>
        <v>12</v>
      </c>
      <c r="BS24" s="228">
        <f t="shared" si="41"/>
        <v>0</v>
      </c>
      <c r="BT24" s="156" cm="1">
        <f t="array" ref="BT24">IF($W24&lt;=$O$16,_xlfn.IFS(W24&lt;$F$16,$P$92,W24=$F$16,$P$93,W24&gt;$F$16,$P$94),0)</f>
        <v>33.78</v>
      </c>
      <c r="BU24" s="157">
        <f t="shared" si="42"/>
        <v>85.78</v>
      </c>
      <c r="BV24" s="157">
        <f t="shared" si="22"/>
        <v>105.61952400827224</v>
      </c>
      <c r="BW24" s="153"/>
      <c r="BX24" s="169">
        <f t="shared" si="23"/>
        <v>60.581268369200558</v>
      </c>
      <c r="BY24" s="286">
        <f t="shared" si="43"/>
        <v>0</v>
      </c>
      <c r="CA24"/>
    </row>
    <row r="25" spans="1:79" ht="15.75" customHeight="1">
      <c r="V25" s="58">
        <f t="shared" si="24"/>
        <v>48669</v>
      </c>
      <c r="W25" s="7">
        <v>9</v>
      </c>
      <c r="X25" s="282" t="str">
        <f t="shared" si="25"/>
        <v>維持管理・運営期間</v>
      </c>
      <c r="Y25" s="161">
        <f t="shared" si="0"/>
        <v>0</v>
      </c>
      <c r="Z25" s="159">
        <f t="shared" si="1"/>
        <v>0</v>
      </c>
      <c r="AA25" s="159">
        <f t="shared" si="2"/>
        <v>0</v>
      </c>
      <c r="AB25" s="159">
        <f t="shared" si="3"/>
        <v>0</v>
      </c>
      <c r="AC25" s="160">
        <f t="shared" si="26"/>
        <v>0</v>
      </c>
      <c r="AD25" s="161">
        <f t="shared" si="4"/>
        <v>0</v>
      </c>
      <c r="AE25" s="159">
        <f t="shared" si="5"/>
        <v>50</v>
      </c>
      <c r="AF25" s="159">
        <f t="shared" si="27"/>
        <v>10</v>
      </c>
      <c r="AG25" s="277">
        <f>IF(AND(SUM($AA$16:AA24)&gt;0,SUM($AG$16:AG24)&lt;$O$62,$W25&gt;=$O$65),$O$64,0)</f>
        <v>64.125</v>
      </c>
      <c r="AH25" s="228">
        <f>IF(SUM($AA$17:$AA24)&gt;0,($O$62-SUM($AG$17:$AG24))*$E$65,0)</f>
        <v>17.313749999999999</v>
      </c>
      <c r="AI25" s="160">
        <f t="shared" si="28"/>
        <v>60</v>
      </c>
      <c r="AJ25" s="156">
        <f t="shared" si="6"/>
        <v>-60</v>
      </c>
      <c r="AK25" s="158">
        <f>(SUM($P$31,$P$51)-SUM($AU$17:AU24))*$O$109</f>
        <v>17.087309140625184</v>
      </c>
      <c r="AL25" s="163"/>
      <c r="AM25" s="157">
        <f t="shared" si="7"/>
        <v>-44.215729569580446</v>
      </c>
      <c r="AN25" s="164"/>
      <c r="AO25" s="155">
        <f t="shared" si="8"/>
        <v>0</v>
      </c>
      <c r="AP25" s="156">
        <f t="shared" si="9"/>
        <v>0</v>
      </c>
      <c r="AQ25" s="156">
        <f t="shared" si="10"/>
        <v>0</v>
      </c>
      <c r="AR25" s="159">
        <f t="shared" si="11"/>
        <v>0</v>
      </c>
      <c r="AS25" s="160">
        <f t="shared" si="29"/>
        <v>0</v>
      </c>
      <c r="AT25" s="159">
        <f t="shared" si="12"/>
        <v>0</v>
      </c>
      <c r="AU25" s="159">
        <f t="shared" si="13"/>
        <v>59.071337038982961</v>
      </c>
      <c r="AV25" s="159">
        <f t="shared" si="14"/>
        <v>46.548186969289283</v>
      </c>
      <c r="AW25" s="159">
        <f t="shared" si="30"/>
        <v>40</v>
      </c>
      <c r="AX25" s="278">
        <f t="shared" si="31"/>
        <v>6</v>
      </c>
      <c r="AY25" s="279">
        <f t="shared" si="15"/>
        <v>45.78</v>
      </c>
      <c r="AZ25" s="278">
        <f>IF(AND(SUM($AQ$16:AQ24)&gt;0,SUM($AZ$16:AZ24)&lt;$P$62,$W25&gt;=$P$65),$P$64,0)</f>
        <v>9</v>
      </c>
      <c r="BA25" s="159">
        <f>IF(SUM($AQ$17:$AQ24)&gt;0,($P$62-SUM($AZ$17:$AZ24))*$F$65,0)</f>
        <v>2.4299999999999997</v>
      </c>
      <c r="BB25" s="160">
        <f t="shared" si="32"/>
        <v>197.39952400827224</v>
      </c>
      <c r="BC25" s="156">
        <f t="shared" si="33"/>
        <v>-197.39952400827224</v>
      </c>
      <c r="BD25" s="157">
        <f t="shared" si="16"/>
        <v>-145.46939951189447</v>
      </c>
      <c r="BE25" s="48"/>
      <c r="BF25" s="46">
        <f t="shared" si="34"/>
        <v>0.73692882615967414</v>
      </c>
      <c r="BH25" s="155">
        <f t="shared" si="35"/>
        <v>0</v>
      </c>
      <c r="BI25" s="155">
        <f t="shared" si="36"/>
        <v>59.071337038982961</v>
      </c>
      <c r="BJ25" s="156">
        <f t="shared" si="37"/>
        <v>46.548186969289283</v>
      </c>
      <c r="BK25" s="156">
        <f t="shared" si="38"/>
        <v>40</v>
      </c>
      <c r="BL25" s="156">
        <f t="shared" si="39"/>
        <v>45.78</v>
      </c>
      <c r="BM25" s="156">
        <f t="shared" si="17"/>
        <v>0</v>
      </c>
      <c r="BN25" s="157">
        <f t="shared" si="40"/>
        <v>191.39952400827224</v>
      </c>
      <c r="BO25" s="156">
        <f t="shared" si="18"/>
        <v>0</v>
      </c>
      <c r="BP25" s="156">
        <f t="shared" si="19"/>
        <v>40</v>
      </c>
      <c r="BQ25" s="280">
        <f t="shared" si="20"/>
        <v>34.09440933767219</v>
      </c>
      <c r="BR25" s="156">
        <f t="shared" si="21"/>
        <v>12</v>
      </c>
      <c r="BS25" s="228">
        <f t="shared" si="41"/>
        <v>0</v>
      </c>
      <c r="BT25" s="156" cm="1">
        <f t="array" ref="BT25">IF($W25&lt;=$O$16,_xlfn.IFS(W25&lt;$F$16,$P$92,W25=$F$16,$P$93,W25&gt;$F$16,$P$94),0)</f>
        <v>33.78</v>
      </c>
      <c r="BU25" s="157">
        <f t="shared" si="42"/>
        <v>85.78</v>
      </c>
      <c r="BV25" s="157">
        <f t="shared" si="22"/>
        <v>105.61952400827224</v>
      </c>
      <c r="BW25" s="153"/>
      <c r="BX25" s="169">
        <f t="shared" si="23"/>
        <v>62.368415786091987</v>
      </c>
      <c r="BY25" s="286">
        <f t="shared" si="43"/>
        <v>0</v>
      </c>
      <c r="CA25"/>
    </row>
    <row r="26" spans="1:79" ht="13.5" customHeight="1">
      <c r="V26" s="58">
        <f t="shared" si="24"/>
        <v>49034</v>
      </c>
      <c r="W26" s="7">
        <v>10</v>
      </c>
      <c r="X26" s="282" t="str">
        <f t="shared" si="25"/>
        <v>維持管理・運営期間</v>
      </c>
      <c r="Y26" s="161">
        <f t="shared" si="0"/>
        <v>0</v>
      </c>
      <c r="Z26" s="159">
        <f t="shared" si="1"/>
        <v>0</v>
      </c>
      <c r="AA26" s="159">
        <f t="shared" si="2"/>
        <v>0</v>
      </c>
      <c r="AB26" s="159">
        <f t="shared" si="3"/>
        <v>0</v>
      </c>
      <c r="AC26" s="160">
        <f t="shared" si="26"/>
        <v>0</v>
      </c>
      <c r="AD26" s="161">
        <f t="shared" si="4"/>
        <v>0</v>
      </c>
      <c r="AE26" s="159">
        <f t="shared" si="5"/>
        <v>50</v>
      </c>
      <c r="AF26" s="159">
        <f t="shared" si="27"/>
        <v>10</v>
      </c>
      <c r="AG26" s="277">
        <f>IF(AND(SUM($AA$16:AA25)&gt;0,SUM($AG$16:AG25)&lt;$O$62,$W26&gt;=$O$65),$O$64,0)</f>
        <v>64.125</v>
      </c>
      <c r="AH26" s="228">
        <f>IF(SUM($AA$17:$AA25)&gt;0,($O$62-SUM($AG$17:$AG25))*$E$65,0)</f>
        <v>16.351875</v>
      </c>
      <c r="AI26" s="160">
        <f t="shared" si="28"/>
        <v>60</v>
      </c>
      <c r="AJ26" s="156">
        <f t="shared" si="6"/>
        <v>-60</v>
      </c>
      <c r="AK26" s="158">
        <f>(SUM($P$31,$P$51)-SUM($AU$17:AU25))*$O$109</f>
        <v>16.230774753559931</v>
      </c>
      <c r="AL26" s="163"/>
      <c r="AM26" s="157">
        <f t="shared" si="7"/>
        <v>-42.741159564601695</v>
      </c>
      <c r="AN26" s="164"/>
      <c r="AO26" s="155">
        <f t="shared" si="8"/>
        <v>0</v>
      </c>
      <c r="AP26" s="156">
        <f t="shared" si="9"/>
        <v>0</v>
      </c>
      <c r="AQ26" s="156">
        <f t="shared" si="10"/>
        <v>0</v>
      </c>
      <c r="AR26" s="159">
        <f t="shared" si="11"/>
        <v>0</v>
      </c>
      <c r="AS26" s="160">
        <f t="shared" si="29"/>
        <v>0</v>
      </c>
      <c r="AT26" s="159">
        <f t="shared" si="12"/>
        <v>0</v>
      </c>
      <c r="AU26" s="159">
        <f t="shared" si="13"/>
        <v>61.404654852022794</v>
      </c>
      <c r="AV26" s="159">
        <f t="shared" si="14"/>
        <v>44.214869156249463</v>
      </c>
      <c r="AW26" s="159">
        <f t="shared" si="30"/>
        <v>40</v>
      </c>
      <c r="AX26" s="278">
        <f t="shared" si="31"/>
        <v>6</v>
      </c>
      <c r="AY26" s="279">
        <f t="shared" si="15"/>
        <v>45.78</v>
      </c>
      <c r="AZ26" s="278">
        <f>IF(AND(SUM($AQ$16:AQ25)&gt;0,SUM($AZ$16:AZ25)&lt;$P$62,$W26&gt;=$P$65),$P$64,0)</f>
        <v>9</v>
      </c>
      <c r="BA26" s="159">
        <f>IF(SUM($AQ$17:$AQ25)&gt;0,($P$62-SUM($AZ$17:$AZ25))*$F$65,0)</f>
        <v>2.2949999999999999</v>
      </c>
      <c r="BB26" s="160">
        <f t="shared" si="32"/>
        <v>197.39952400827227</v>
      </c>
      <c r="BC26" s="156">
        <f t="shared" si="33"/>
        <v>-197.39952400827227</v>
      </c>
      <c r="BD26" s="157">
        <f t="shared" si="16"/>
        <v>-140.61807589356647</v>
      </c>
      <c r="BE26" s="48"/>
      <c r="BF26" s="46">
        <f t="shared" si="34"/>
        <v>0.71235265941002823</v>
      </c>
      <c r="BH26" s="155">
        <f t="shared" si="35"/>
        <v>0</v>
      </c>
      <c r="BI26" s="155">
        <f t="shared" si="36"/>
        <v>61.404654852022794</v>
      </c>
      <c r="BJ26" s="156">
        <f t="shared" si="37"/>
        <v>44.214869156249463</v>
      </c>
      <c r="BK26" s="156">
        <f t="shared" si="38"/>
        <v>40</v>
      </c>
      <c r="BL26" s="156">
        <f t="shared" si="39"/>
        <v>45.78</v>
      </c>
      <c r="BM26" s="156">
        <f t="shared" si="17"/>
        <v>0</v>
      </c>
      <c r="BN26" s="157">
        <f t="shared" si="40"/>
        <v>191.39952400827227</v>
      </c>
      <c r="BO26" s="156">
        <f t="shared" si="18"/>
        <v>0</v>
      </c>
      <c r="BP26" s="156">
        <f t="shared" si="19"/>
        <v>40</v>
      </c>
      <c r="BQ26" s="280">
        <f t="shared" si="20"/>
        <v>32.25454107198248</v>
      </c>
      <c r="BR26" s="156">
        <f t="shared" si="21"/>
        <v>12</v>
      </c>
      <c r="BS26" s="228">
        <f t="shared" si="41"/>
        <v>0</v>
      </c>
      <c r="BT26" s="156" cm="1">
        <f t="array" ref="BT26">IF($W26&lt;=$O$16,_xlfn.IFS(W26&lt;$F$16,$P$92,W26=$F$16,$P$93,W26&gt;$F$16,$P$94),0)</f>
        <v>33.78</v>
      </c>
      <c r="BU26" s="157">
        <f t="shared" si="42"/>
        <v>85.78</v>
      </c>
      <c r="BV26" s="157">
        <f t="shared" si="22"/>
        <v>105.61952400827226</v>
      </c>
      <c r="BW26" s="153"/>
      <c r="BX26" s="169">
        <f t="shared" si="23"/>
        <v>64.208284051781689</v>
      </c>
      <c r="BY26" s="286">
        <f t="shared" si="43"/>
        <v>0</v>
      </c>
      <c r="CA26"/>
    </row>
    <row r="27" spans="1:79" ht="15.75" customHeight="1">
      <c r="A27" s="4" t="s">
        <v>118</v>
      </c>
      <c r="H27" s="72"/>
      <c r="I27" s="72"/>
      <c r="J27" s="4" t="s">
        <v>122</v>
      </c>
      <c r="V27" s="58">
        <f t="shared" si="24"/>
        <v>49399</v>
      </c>
      <c r="W27" s="7">
        <v>11</v>
      </c>
      <c r="X27" s="282" t="str">
        <f t="shared" si="25"/>
        <v>維持管理・運営期間</v>
      </c>
      <c r="Y27" s="161">
        <f t="shared" si="0"/>
        <v>0</v>
      </c>
      <c r="Z27" s="159">
        <f t="shared" si="1"/>
        <v>0</v>
      </c>
      <c r="AA27" s="159">
        <f t="shared" si="2"/>
        <v>0</v>
      </c>
      <c r="AB27" s="159">
        <f t="shared" si="3"/>
        <v>0</v>
      </c>
      <c r="AC27" s="160">
        <f t="shared" si="26"/>
        <v>0</v>
      </c>
      <c r="AD27" s="161">
        <f t="shared" si="4"/>
        <v>0</v>
      </c>
      <c r="AE27" s="159">
        <f t="shared" si="5"/>
        <v>50</v>
      </c>
      <c r="AF27" s="159">
        <f t="shared" si="27"/>
        <v>10</v>
      </c>
      <c r="AG27" s="277">
        <f>IF(AND(SUM($AA$16:AA26)&gt;0,SUM($AG$16:AG26)&lt;$O$62,$W27&gt;=$O$65),$O$64,0)</f>
        <v>64.125</v>
      </c>
      <c r="AH27" s="228">
        <f>IF(SUM($AA$17:$AA26)&gt;0,($O$62-SUM($AG$17:$AG26))*$E$65,0)</f>
        <v>15.389999999999999</v>
      </c>
      <c r="AI27" s="160">
        <f t="shared" si="28"/>
        <v>60</v>
      </c>
      <c r="AJ27" s="156">
        <f t="shared" si="6"/>
        <v>-60</v>
      </c>
      <c r="AK27" s="158">
        <f>(SUM($P$31,$P$51)-SUM($AU$17:AU26))*$O$109</f>
        <v>15.340407258205602</v>
      </c>
      <c r="AL27" s="163"/>
      <c r="AM27" s="157">
        <f t="shared" si="7"/>
        <v>-41.315765649687478</v>
      </c>
      <c r="AN27" s="164"/>
      <c r="AO27" s="155">
        <f t="shared" si="8"/>
        <v>0</v>
      </c>
      <c r="AP27" s="156">
        <f t="shared" si="9"/>
        <v>0</v>
      </c>
      <c r="AQ27" s="156">
        <f t="shared" si="10"/>
        <v>0</v>
      </c>
      <c r="AR27" s="159">
        <f t="shared" si="11"/>
        <v>0</v>
      </c>
      <c r="AS27" s="160">
        <f t="shared" si="29"/>
        <v>0</v>
      </c>
      <c r="AT27" s="159">
        <f t="shared" si="12"/>
        <v>0</v>
      </c>
      <c r="AU27" s="159">
        <f t="shared" si="13"/>
        <v>63.830138718677695</v>
      </c>
      <c r="AV27" s="159">
        <f t="shared" si="14"/>
        <v>41.789385289594563</v>
      </c>
      <c r="AW27" s="159">
        <f t="shared" si="30"/>
        <v>40</v>
      </c>
      <c r="AX27" s="278">
        <f t="shared" si="31"/>
        <v>6</v>
      </c>
      <c r="AY27" s="279">
        <f t="shared" si="15"/>
        <v>45.78</v>
      </c>
      <c r="AZ27" s="278">
        <f>IF(AND(SUM($AQ$16:AQ26)&gt;0,SUM($AZ$16:AZ26)&lt;$P$62,$W27&gt;=$P$65),$P$64,0)</f>
        <v>9</v>
      </c>
      <c r="BA27" s="159">
        <f>IF(SUM($AQ$17:$AQ26)&gt;0,($P$62-SUM($AZ$17:$AZ26))*$F$65,0)</f>
        <v>2.16</v>
      </c>
      <c r="BB27" s="160">
        <f t="shared" si="32"/>
        <v>197.39952400827227</v>
      </c>
      <c r="BC27" s="156">
        <f t="shared" si="33"/>
        <v>-197.39952400827227</v>
      </c>
      <c r="BD27" s="157">
        <f t="shared" si="16"/>
        <v>-135.92854122142722</v>
      </c>
      <c r="BE27" s="48"/>
      <c r="BF27" s="46">
        <f t="shared" si="34"/>
        <v>0.68859609416145795</v>
      </c>
      <c r="BH27" s="155">
        <f t="shared" si="35"/>
        <v>0</v>
      </c>
      <c r="BI27" s="155">
        <f t="shared" si="36"/>
        <v>63.830138718677695</v>
      </c>
      <c r="BJ27" s="156">
        <f t="shared" si="37"/>
        <v>41.789385289594563</v>
      </c>
      <c r="BK27" s="156">
        <f t="shared" si="38"/>
        <v>40</v>
      </c>
      <c r="BL27" s="156">
        <f t="shared" si="39"/>
        <v>45.78</v>
      </c>
      <c r="BM27" s="156">
        <f t="shared" si="17"/>
        <v>0</v>
      </c>
      <c r="BN27" s="157">
        <f t="shared" si="40"/>
        <v>191.39952400827227</v>
      </c>
      <c r="BO27" s="156">
        <f t="shared" si="18"/>
        <v>0</v>
      </c>
      <c r="BP27" s="156">
        <f t="shared" si="19"/>
        <v>40</v>
      </c>
      <c r="BQ27" s="280">
        <f t="shared" si="20"/>
        <v>30.360396692454923</v>
      </c>
      <c r="BR27" s="156">
        <f t="shared" si="21"/>
        <v>12</v>
      </c>
      <c r="BS27" s="228">
        <f t="shared" si="41"/>
        <v>0</v>
      </c>
      <c r="BT27" s="156" cm="1">
        <f t="array" ref="BT27">IF($W27&lt;=$O$16,_xlfn.IFS(W27&lt;$F$16,$P$92,W27=$F$16,$P$93,W27&gt;$F$16,$P$94),0)</f>
        <v>33.78</v>
      </c>
      <c r="BU27" s="157">
        <f t="shared" si="42"/>
        <v>85.78</v>
      </c>
      <c r="BV27" s="157">
        <f t="shared" si="22"/>
        <v>105.61952400827226</v>
      </c>
      <c r="BW27" s="153"/>
      <c r="BX27" s="169">
        <f t="shared" si="23"/>
        <v>66.102428431309264</v>
      </c>
      <c r="BY27" s="286">
        <f t="shared" si="43"/>
        <v>0</v>
      </c>
      <c r="CA27"/>
    </row>
    <row r="28" spans="1:79" ht="15.75" customHeight="1">
      <c r="B28" t="s">
        <v>123</v>
      </c>
      <c r="D28" t="s">
        <v>8</v>
      </c>
      <c r="F28" s="73">
        <f>SUM(F29:F30)</f>
        <v>3000</v>
      </c>
      <c r="J28" s="4" t="s">
        <v>194</v>
      </c>
      <c r="O28" t="s">
        <v>0</v>
      </c>
      <c r="P28" t="s">
        <v>1</v>
      </c>
      <c r="V28" s="58">
        <f t="shared" si="24"/>
        <v>49765</v>
      </c>
      <c r="W28" s="7">
        <v>12</v>
      </c>
      <c r="X28" s="282" t="str">
        <f t="shared" si="25"/>
        <v>維持管理・運営期間</v>
      </c>
      <c r="Y28" s="161">
        <f t="shared" si="0"/>
        <v>0</v>
      </c>
      <c r="Z28" s="159">
        <f t="shared" si="1"/>
        <v>0</v>
      </c>
      <c r="AA28" s="159">
        <f t="shared" si="2"/>
        <v>0</v>
      </c>
      <c r="AB28" s="159">
        <f t="shared" si="3"/>
        <v>0</v>
      </c>
      <c r="AC28" s="160">
        <f t="shared" si="26"/>
        <v>0</v>
      </c>
      <c r="AD28" s="161">
        <f t="shared" si="4"/>
        <v>0</v>
      </c>
      <c r="AE28" s="159">
        <f t="shared" si="5"/>
        <v>50</v>
      </c>
      <c r="AF28" s="159">
        <f t="shared" si="27"/>
        <v>10</v>
      </c>
      <c r="AG28" s="277">
        <f>IF(AND(SUM($AA$16:AA27)&gt;0,SUM($AG$16:AG27)&lt;$O$62,$W28&gt;=$O$65),$O$64,0)</f>
        <v>64.125</v>
      </c>
      <c r="AH28" s="228">
        <f>IF(SUM($AA$17:$AA27)&gt;0,($O$62-SUM($AG$17:$AG27))*$E$65,0)</f>
        <v>14.428125</v>
      </c>
      <c r="AI28" s="160">
        <f t="shared" si="28"/>
        <v>60</v>
      </c>
      <c r="AJ28" s="156">
        <f t="shared" si="6"/>
        <v>-60</v>
      </c>
      <c r="AK28" s="158">
        <f>(SUM($P$31,$P$51)-SUM($AU$17:AU27))*$O$109</f>
        <v>14.414870246784774</v>
      </c>
      <c r="AL28" s="163"/>
      <c r="AM28" s="157">
        <f t="shared" si="7"/>
        <v>-39.937907829567408</v>
      </c>
      <c r="AN28" s="164"/>
      <c r="AO28" s="155">
        <f t="shared" si="8"/>
        <v>0</v>
      </c>
      <c r="AP28" s="156">
        <f t="shared" si="9"/>
        <v>0</v>
      </c>
      <c r="AQ28" s="156">
        <f t="shared" si="10"/>
        <v>0</v>
      </c>
      <c r="AR28" s="159">
        <f t="shared" si="11"/>
        <v>0</v>
      </c>
      <c r="AS28" s="160">
        <f t="shared" si="29"/>
        <v>0</v>
      </c>
      <c r="AT28" s="159">
        <f t="shared" si="12"/>
        <v>0</v>
      </c>
      <c r="AU28" s="159">
        <f t="shared" si="13"/>
        <v>66.35142919806546</v>
      </c>
      <c r="AV28" s="159">
        <f t="shared" si="14"/>
        <v>39.268094810206797</v>
      </c>
      <c r="AW28" s="159">
        <f t="shared" si="30"/>
        <v>40</v>
      </c>
      <c r="AX28" s="278">
        <f t="shared" si="31"/>
        <v>6</v>
      </c>
      <c r="AY28" s="279">
        <f t="shared" si="15"/>
        <v>45.78</v>
      </c>
      <c r="AZ28" s="278">
        <f>IF(AND(SUM($AQ$16:AQ27)&gt;0,SUM($AZ$16:AZ27)&lt;$P$62,$W28&gt;=$P$65),$P$64,0)</f>
        <v>9</v>
      </c>
      <c r="BA28" s="159">
        <f>IF(SUM($AQ$17:$AQ27)&gt;0,($P$62-SUM($AZ$17:$AZ27))*$F$65,0)</f>
        <v>2.0249999999999999</v>
      </c>
      <c r="BB28" s="160">
        <f t="shared" si="32"/>
        <v>197.39952400827227</v>
      </c>
      <c r="BC28" s="156">
        <f t="shared" si="33"/>
        <v>-197.39952400827227</v>
      </c>
      <c r="BD28" s="157">
        <f t="shared" si="16"/>
        <v>-131.39539992404761</v>
      </c>
      <c r="BE28" s="48"/>
      <c r="BF28" s="46">
        <f t="shared" si="34"/>
        <v>0.66563179715945675</v>
      </c>
      <c r="BH28" s="155">
        <f t="shared" si="35"/>
        <v>0</v>
      </c>
      <c r="BI28" s="155">
        <f t="shared" si="36"/>
        <v>66.35142919806546</v>
      </c>
      <c r="BJ28" s="156">
        <f t="shared" si="37"/>
        <v>39.268094810206797</v>
      </c>
      <c r="BK28" s="156">
        <f t="shared" si="38"/>
        <v>40</v>
      </c>
      <c r="BL28" s="156">
        <f t="shared" si="39"/>
        <v>45.78</v>
      </c>
      <c r="BM28" s="156">
        <f t="shared" si="17"/>
        <v>0</v>
      </c>
      <c r="BN28" s="157">
        <f t="shared" si="40"/>
        <v>191.39952400827227</v>
      </c>
      <c r="BO28" s="156">
        <f t="shared" si="18"/>
        <v>0</v>
      </c>
      <c r="BP28" s="156">
        <f t="shared" si="19"/>
        <v>40</v>
      </c>
      <c r="BQ28" s="280">
        <f t="shared" si="20"/>
        <v>28.410375053731304</v>
      </c>
      <c r="BR28" s="156">
        <f t="shared" si="21"/>
        <v>12</v>
      </c>
      <c r="BS28" s="228">
        <f t="shared" si="41"/>
        <v>0</v>
      </c>
      <c r="BT28" s="156" cm="1">
        <f t="array" ref="BT28">IF($W28&lt;=$O$16,_xlfn.IFS(W28&lt;$F$16,$P$92,W28=$F$16,$P$93,W28&gt;$F$16,$P$94),0)</f>
        <v>33.78</v>
      </c>
      <c r="BU28" s="157">
        <f t="shared" si="42"/>
        <v>85.78</v>
      </c>
      <c r="BV28" s="157">
        <f t="shared" si="22"/>
        <v>105.61952400827226</v>
      </c>
      <c r="BW28" s="153"/>
      <c r="BX28" s="169">
        <f t="shared" si="23"/>
        <v>68.052450070032876</v>
      </c>
      <c r="BY28" s="286">
        <f t="shared" si="43"/>
        <v>0</v>
      </c>
      <c r="CA28"/>
    </row>
    <row r="29" spans="1:79" ht="15.75" customHeight="1">
      <c r="C29" s="2" t="s">
        <v>72</v>
      </c>
      <c r="D29" t="s">
        <v>8</v>
      </c>
      <c r="F29" s="200">
        <f>事業費用概算!G6</f>
        <v>0</v>
      </c>
      <c r="K29" t="s">
        <v>29</v>
      </c>
      <c r="N29" s="19" t="s">
        <v>8</v>
      </c>
      <c r="O29" s="52">
        <f>F30*$F$50+F29</f>
        <v>2850</v>
      </c>
      <c r="P29" s="52">
        <f>F28*(1-F51)</f>
        <v>2400</v>
      </c>
      <c r="Q29" t="s">
        <v>59</v>
      </c>
      <c r="V29" s="58">
        <f t="shared" si="24"/>
        <v>50130</v>
      </c>
      <c r="W29" s="7">
        <v>13</v>
      </c>
      <c r="X29" s="282" t="str">
        <f t="shared" si="25"/>
        <v>維持管理・運営期間</v>
      </c>
      <c r="Y29" s="161">
        <f t="shared" si="0"/>
        <v>0</v>
      </c>
      <c r="Z29" s="159">
        <f t="shared" si="1"/>
        <v>0</v>
      </c>
      <c r="AA29" s="159">
        <f t="shared" si="2"/>
        <v>0</v>
      </c>
      <c r="AB29" s="159">
        <f t="shared" si="3"/>
        <v>0</v>
      </c>
      <c r="AC29" s="160">
        <f t="shared" si="26"/>
        <v>0</v>
      </c>
      <c r="AD29" s="161">
        <f t="shared" si="4"/>
        <v>0</v>
      </c>
      <c r="AE29" s="159">
        <f t="shared" si="5"/>
        <v>50</v>
      </c>
      <c r="AF29" s="159">
        <f t="shared" si="27"/>
        <v>10</v>
      </c>
      <c r="AG29" s="277">
        <f>IF(AND(SUM($AA$16:AA28)&gt;0,SUM($AG$16:AG28)&lt;$O$62,$W29&gt;=$O$65),$O$64,0)</f>
        <v>64.125</v>
      </c>
      <c r="AH29" s="228">
        <f>IF(SUM($AA$17:$AA28)&gt;0,($O$62-SUM($AG$17:$AG28))*$E$65,0)</f>
        <v>13.466249999999999</v>
      </c>
      <c r="AI29" s="160">
        <f t="shared" si="28"/>
        <v>60</v>
      </c>
      <c r="AJ29" s="156">
        <f t="shared" si="6"/>
        <v>-60</v>
      </c>
      <c r="AK29" s="158">
        <f>(SUM($P$31,$P$51)-SUM($AU$17:AU28))*$O$109</f>
        <v>13.452774523412824</v>
      </c>
      <c r="AL29" s="163"/>
      <c r="AM29" s="157">
        <f t="shared" si="7"/>
        <v>-38.6060008019018</v>
      </c>
      <c r="AN29" s="164"/>
      <c r="AO29" s="155">
        <f t="shared" si="8"/>
        <v>0</v>
      </c>
      <c r="AP29" s="156">
        <f t="shared" si="9"/>
        <v>0</v>
      </c>
      <c r="AQ29" s="156">
        <f t="shared" si="10"/>
        <v>0</v>
      </c>
      <c r="AR29" s="159">
        <f t="shared" si="11"/>
        <v>0</v>
      </c>
      <c r="AS29" s="160">
        <f t="shared" si="29"/>
        <v>0</v>
      </c>
      <c r="AT29" s="159">
        <f t="shared" si="12"/>
        <v>0</v>
      </c>
      <c r="AU29" s="159">
        <f t="shared" si="13"/>
        <v>68.972310651389037</v>
      </c>
      <c r="AV29" s="159">
        <f t="shared" si="14"/>
        <v>36.647213356883213</v>
      </c>
      <c r="AW29" s="159">
        <f t="shared" si="30"/>
        <v>40</v>
      </c>
      <c r="AX29" s="278">
        <f t="shared" si="31"/>
        <v>6</v>
      </c>
      <c r="AY29" s="279">
        <f t="shared" si="15"/>
        <v>45.78</v>
      </c>
      <c r="AZ29" s="278">
        <f>IF(AND(SUM($AQ$16:AQ28)&gt;0,SUM($AZ$16:AZ28)&lt;$P$62,$W29&gt;=$P$65),$P$64,0)</f>
        <v>9</v>
      </c>
      <c r="BA29" s="159">
        <f>IF(SUM($AQ$17:$AQ28)&gt;0,($P$62-SUM($AZ$17:$AZ28))*$F$65,0)</f>
        <v>1.89</v>
      </c>
      <c r="BB29" s="160">
        <f t="shared" si="32"/>
        <v>197.39952400827227</v>
      </c>
      <c r="BC29" s="156">
        <f t="shared" si="33"/>
        <v>-197.39952400827227</v>
      </c>
      <c r="BD29" s="157">
        <f t="shared" si="16"/>
        <v>-127.01343636930653</v>
      </c>
      <c r="BE29" s="48"/>
      <c r="BF29" s="46">
        <f t="shared" si="34"/>
        <v>0.64343334669836327</v>
      </c>
      <c r="BH29" s="155">
        <f t="shared" si="35"/>
        <v>0</v>
      </c>
      <c r="BI29" s="155">
        <f t="shared" si="36"/>
        <v>68.972310651389037</v>
      </c>
      <c r="BJ29" s="156">
        <f t="shared" si="37"/>
        <v>36.647213356883213</v>
      </c>
      <c r="BK29" s="156">
        <f t="shared" si="38"/>
        <v>40</v>
      </c>
      <c r="BL29" s="156">
        <f t="shared" si="39"/>
        <v>45.78</v>
      </c>
      <c r="BM29" s="156">
        <f t="shared" si="17"/>
        <v>0</v>
      </c>
      <c r="BN29" s="157">
        <f t="shared" si="40"/>
        <v>191.39952400827227</v>
      </c>
      <c r="BO29" s="156">
        <f t="shared" si="18"/>
        <v>0</v>
      </c>
      <c r="BP29" s="156">
        <f t="shared" si="19"/>
        <v>40</v>
      </c>
      <c r="BQ29" s="280">
        <f t="shared" si="20"/>
        <v>26.40282777666533</v>
      </c>
      <c r="BR29" s="156">
        <f t="shared" si="21"/>
        <v>12</v>
      </c>
      <c r="BS29" s="228">
        <f t="shared" si="41"/>
        <v>0</v>
      </c>
      <c r="BT29" s="156" cm="1">
        <f t="array" ref="BT29">IF($W29&lt;=$O$16,_xlfn.IFS(W29&lt;$F$16,$P$92,W29=$F$16,$P$93,W29&gt;$F$16,$P$94),0)</f>
        <v>33.78</v>
      </c>
      <c r="BU29" s="157">
        <f t="shared" si="42"/>
        <v>85.78</v>
      </c>
      <c r="BV29" s="157">
        <f t="shared" si="22"/>
        <v>105.61952400827226</v>
      </c>
      <c r="BW29" s="153"/>
      <c r="BX29" s="169">
        <f t="shared" si="23"/>
        <v>70.059997347098843</v>
      </c>
      <c r="BY29" s="286">
        <f t="shared" si="43"/>
        <v>0</v>
      </c>
      <c r="CA29"/>
    </row>
    <row r="30" spans="1:79" ht="15.75" customHeight="1">
      <c r="C30" s="2" t="s">
        <v>195</v>
      </c>
      <c r="D30" t="s">
        <v>8</v>
      </c>
      <c r="F30" s="200">
        <f>事業費用概算!G7</f>
        <v>3000</v>
      </c>
      <c r="M30" s="56" t="s">
        <v>43</v>
      </c>
      <c r="N30" s="19" t="s">
        <v>8</v>
      </c>
      <c r="O30" s="51">
        <f>O29*E32</f>
        <v>2850</v>
      </c>
      <c r="P30" s="51">
        <f>$P$29*F32</f>
        <v>1200</v>
      </c>
      <c r="V30" s="58">
        <f t="shared" si="24"/>
        <v>50495</v>
      </c>
      <c r="W30" s="7">
        <v>14</v>
      </c>
      <c r="X30" s="282" t="str">
        <f t="shared" si="25"/>
        <v>維持管理・運営期間</v>
      </c>
      <c r="Y30" s="161">
        <f t="shared" si="0"/>
        <v>0</v>
      </c>
      <c r="Z30" s="159">
        <f t="shared" si="1"/>
        <v>0</v>
      </c>
      <c r="AA30" s="159">
        <f t="shared" si="2"/>
        <v>0</v>
      </c>
      <c r="AB30" s="159">
        <f t="shared" si="3"/>
        <v>0</v>
      </c>
      <c r="AC30" s="160">
        <f t="shared" si="26"/>
        <v>0</v>
      </c>
      <c r="AD30" s="161">
        <f t="shared" si="4"/>
        <v>0</v>
      </c>
      <c r="AE30" s="159">
        <f t="shared" si="5"/>
        <v>50</v>
      </c>
      <c r="AF30" s="159">
        <f t="shared" si="27"/>
        <v>10</v>
      </c>
      <c r="AG30" s="277">
        <f>IF(AND(SUM($AA$16:AA29)&gt;0,SUM($AG$16:AG29)&lt;$O$62,$W30&gt;=$O$65),$O$64,0)</f>
        <v>64.125</v>
      </c>
      <c r="AH30" s="228">
        <f>IF(SUM($AA$17:$AA29)&gt;0,($O$62-SUM($AG$17:$AG29))*$E$65,0)</f>
        <v>12.504375</v>
      </c>
      <c r="AI30" s="160">
        <f t="shared" si="28"/>
        <v>60</v>
      </c>
      <c r="AJ30" s="156">
        <f t="shared" si="6"/>
        <v>-60</v>
      </c>
      <c r="AK30" s="158">
        <f>(SUM($P$31,$P$51)-SUM($AU$17:AU29))*$O$109</f>
        <v>12.452676018967683</v>
      </c>
      <c r="AL30" s="163"/>
      <c r="AM30" s="157">
        <f t="shared" si="7"/>
        <v>-37.318512133302846</v>
      </c>
      <c r="AN30" s="164"/>
      <c r="AO30" s="155">
        <f t="shared" si="8"/>
        <v>0</v>
      </c>
      <c r="AP30" s="156">
        <f t="shared" si="9"/>
        <v>0</v>
      </c>
      <c r="AQ30" s="156">
        <f t="shared" si="10"/>
        <v>0</v>
      </c>
      <c r="AR30" s="159">
        <f t="shared" si="11"/>
        <v>0</v>
      </c>
      <c r="AS30" s="160">
        <f t="shared" si="29"/>
        <v>0</v>
      </c>
      <c r="AT30" s="159">
        <f t="shared" si="12"/>
        <v>0</v>
      </c>
      <c r="AU30" s="159">
        <f t="shared" si="13"/>
        <v>71.69671692211891</v>
      </c>
      <c r="AV30" s="159">
        <f t="shared" si="14"/>
        <v>33.922807086153341</v>
      </c>
      <c r="AW30" s="159">
        <f t="shared" si="30"/>
        <v>40</v>
      </c>
      <c r="AX30" s="278">
        <f t="shared" si="31"/>
        <v>6</v>
      </c>
      <c r="AY30" s="279">
        <f t="shared" si="15"/>
        <v>45.78</v>
      </c>
      <c r="AZ30" s="278">
        <f>IF(AND(SUM($AQ$16:AQ29)&gt;0,SUM($AZ$16:AZ29)&lt;$P$62,$W30&gt;=$P$65),$P$64,0)</f>
        <v>9</v>
      </c>
      <c r="BA30" s="159">
        <f>IF(SUM($AQ$17:$AQ29)&gt;0,($P$62-SUM($AZ$17:$AZ29))*$F$65,0)</f>
        <v>1.7549999999999999</v>
      </c>
      <c r="BB30" s="160">
        <f t="shared" si="32"/>
        <v>197.39952400827227</v>
      </c>
      <c r="BC30" s="156">
        <f t="shared" si="33"/>
        <v>-197.39952400827227</v>
      </c>
      <c r="BD30" s="157">
        <f t="shared" si="16"/>
        <v>-122.77760886351525</v>
      </c>
      <c r="BE30" s="48"/>
      <c r="BF30" s="46">
        <f t="shared" si="34"/>
        <v>0.6219752022217141</v>
      </c>
      <c r="BH30" s="155">
        <f t="shared" si="35"/>
        <v>0</v>
      </c>
      <c r="BI30" s="155">
        <f t="shared" si="36"/>
        <v>71.69671692211891</v>
      </c>
      <c r="BJ30" s="156">
        <f t="shared" si="37"/>
        <v>33.922807086153341</v>
      </c>
      <c r="BK30" s="156">
        <f t="shared" si="38"/>
        <v>40</v>
      </c>
      <c r="BL30" s="156">
        <f t="shared" si="39"/>
        <v>45.78</v>
      </c>
      <c r="BM30" s="156">
        <f t="shared" si="17"/>
        <v>0</v>
      </c>
      <c r="BN30" s="157">
        <f t="shared" si="40"/>
        <v>191.39952400827227</v>
      </c>
      <c r="BO30" s="156">
        <f t="shared" si="18"/>
        <v>0</v>
      </c>
      <c r="BP30" s="156">
        <f t="shared" si="19"/>
        <v>40</v>
      </c>
      <c r="BQ30" s="280">
        <f t="shared" si="20"/>
        <v>24.336057854925915</v>
      </c>
      <c r="BR30" s="156">
        <f t="shared" si="21"/>
        <v>12</v>
      </c>
      <c r="BS30" s="228">
        <f t="shared" si="41"/>
        <v>0</v>
      </c>
      <c r="BT30" s="156" cm="1">
        <f t="array" ref="BT30">IF($W30&lt;=$O$16,_xlfn.IFS(W30&lt;$F$16,$P$92,W30=$F$16,$P$93,W30&gt;$F$16,$P$94),0)</f>
        <v>33.78</v>
      </c>
      <c r="BU30" s="157">
        <f t="shared" si="42"/>
        <v>85.78</v>
      </c>
      <c r="BV30" s="157">
        <f t="shared" si="22"/>
        <v>105.61952400827226</v>
      </c>
      <c r="BW30" s="153"/>
      <c r="BX30" s="169">
        <f t="shared" si="23"/>
        <v>72.126767268838265</v>
      </c>
      <c r="BY30" s="286">
        <f t="shared" si="43"/>
        <v>0</v>
      </c>
      <c r="CA30"/>
    </row>
    <row r="31" spans="1:79" ht="15.75" customHeight="1">
      <c r="C31" t="s">
        <v>121</v>
      </c>
      <c r="E31" s="19" t="s">
        <v>0</v>
      </c>
      <c r="F31" s="19" t="s">
        <v>1</v>
      </c>
      <c r="M31" s="56" t="s">
        <v>25</v>
      </c>
      <c r="N31" s="19" t="s">
        <v>8</v>
      </c>
      <c r="O31" s="51">
        <f>O30*E33</f>
        <v>0</v>
      </c>
      <c r="P31" s="51">
        <f>$P$29*F33</f>
        <v>1200</v>
      </c>
      <c r="V31" s="58">
        <f t="shared" si="24"/>
        <v>50860</v>
      </c>
      <c r="W31" s="7">
        <v>15</v>
      </c>
      <c r="X31" s="282" t="str">
        <f t="shared" si="25"/>
        <v>維持管理・運営期間</v>
      </c>
      <c r="Y31" s="161">
        <f t="shared" si="0"/>
        <v>0</v>
      </c>
      <c r="Z31" s="159">
        <f t="shared" si="1"/>
        <v>0</v>
      </c>
      <c r="AA31" s="159">
        <f t="shared" si="2"/>
        <v>0</v>
      </c>
      <c r="AB31" s="159">
        <f t="shared" si="3"/>
        <v>0</v>
      </c>
      <c r="AC31" s="160">
        <f t="shared" si="26"/>
        <v>0</v>
      </c>
      <c r="AD31" s="161">
        <f t="shared" si="4"/>
        <v>0</v>
      </c>
      <c r="AE31" s="159">
        <f t="shared" si="5"/>
        <v>50</v>
      </c>
      <c r="AF31" s="159">
        <f t="shared" si="27"/>
        <v>10</v>
      </c>
      <c r="AG31" s="277">
        <f>IF(AND(SUM($AA$16:AA30)&gt;0,SUM($AG$16:AG30)&lt;$O$62,$W31&gt;=$O$65),$O$64,0)</f>
        <v>64.125</v>
      </c>
      <c r="AH31" s="228">
        <f>IF(SUM($AA$17:$AA30)&gt;0,($O$62-SUM($AG$17:$AG30))*$E$65,0)</f>
        <v>11.5425</v>
      </c>
      <c r="AI31" s="160">
        <f t="shared" si="28"/>
        <v>60</v>
      </c>
      <c r="AJ31" s="156">
        <f t="shared" si="6"/>
        <v>-60</v>
      </c>
      <c r="AK31" s="158">
        <f>(SUM($P$31,$P$51)-SUM($AU$17:AU30))*$O$109</f>
        <v>11.41307362359696</v>
      </c>
      <c r="AL31" s="163"/>
      <c r="AM31" s="157">
        <f t="shared" si="7"/>
        <v>-36.073960496184483</v>
      </c>
      <c r="AN31" s="164"/>
      <c r="AO31" s="155">
        <f t="shared" si="8"/>
        <v>0</v>
      </c>
      <c r="AP31" s="156">
        <f t="shared" si="9"/>
        <v>0</v>
      </c>
      <c r="AQ31" s="156">
        <f t="shared" si="10"/>
        <v>0</v>
      </c>
      <c r="AR31" s="159">
        <f t="shared" si="11"/>
        <v>0</v>
      </c>
      <c r="AS31" s="160">
        <f t="shared" si="29"/>
        <v>0</v>
      </c>
      <c r="AT31" s="159">
        <f t="shared" si="12"/>
        <v>0</v>
      </c>
      <c r="AU31" s="159">
        <f t="shared" si="13"/>
        <v>74.528737240542611</v>
      </c>
      <c r="AV31" s="159">
        <f t="shared" si="14"/>
        <v>31.09078676772965</v>
      </c>
      <c r="AW31" s="159">
        <f t="shared" si="30"/>
        <v>40</v>
      </c>
      <c r="AX31" s="278">
        <f t="shared" si="31"/>
        <v>6</v>
      </c>
      <c r="AY31" s="279">
        <f t="shared" si="15"/>
        <v>45.78</v>
      </c>
      <c r="AZ31" s="278">
        <f>IF(AND(SUM($AQ$16:AQ30)&gt;0,SUM($AZ$16:AZ30)&lt;$P$62,$W31&gt;=$P$65),$P$64,0)</f>
        <v>9</v>
      </c>
      <c r="BA31" s="159">
        <f>IF(SUM($AQ$17:$AQ30)&gt;0,($P$62-SUM($AZ$17:$AZ30))*$F$65,0)</f>
        <v>1.6199999999999999</v>
      </c>
      <c r="BB31" s="160">
        <f t="shared" si="32"/>
        <v>197.39952400827227</v>
      </c>
      <c r="BC31" s="156">
        <f t="shared" si="33"/>
        <v>-197.39952400827227</v>
      </c>
      <c r="BD31" s="157">
        <f t="shared" si="16"/>
        <v>-118.68304385066725</v>
      </c>
      <c r="BE31" s="48"/>
      <c r="BF31" s="46">
        <f t="shared" si="34"/>
        <v>0.60123267493640808</v>
      </c>
      <c r="BH31" s="155">
        <f t="shared" si="35"/>
        <v>0</v>
      </c>
      <c r="BI31" s="155">
        <f t="shared" si="36"/>
        <v>74.528737240542611</v>
      </c>
      <c r="BJ31" s="156">
        <f t="shared" si="37"/>
        <v>31.09078676772965</v>
      </c>
      <c r="BK31" s="156">
        <f t="shared" si="38"/>
        <v>40</v>
      </c>
      <c r="BL31" s="156">
        <f t="shared" si="39"/>
        <v>45.78</v>
      </c>
      <c r="BM31" s="156">
        <f t="shared" si="17"/>
        <v>0</v>
      </c>
      <c r="BN31" s="157">
        <f t="shared" si="40"/>
        <v>191.39952400827227</v>
      </c>
      <c r="BO31" s="156">
        <f t="shared" si="18"/>
        <v>0</v>
      </c>
      <c r="BP31" s="156">
        <f t="shared" si="19"/>
        <v>40</v>
      </c>
      <c r="BQ31" s="280">
        <f t="shared" si="20"/>
        <v>22.208318220495187</v>
      </c>
      <c r="BR31" s="156">
        <f t="shared" si="21"/>
        <v>12</v>
      </c>
      <c r="BS31" s="228">
        <f t="shared" si="41"/>
        <v>0</v>
      </c>
      <c r="BT31" s="156" cm="1">
        <f t="array" ref="BT31">IF($W31&lt;=$O$16,_xlfn.IFS(W31&lt;$F$16,$P$92,W31=$F$16,$P$93,W31&gt;$F$16,$P$94),0)</f>
        <v>33.78</v>
      </c>
      <c r="BU31" s="157">
        <f t="shared" si="42"/>
        <v>85.78</v>
      </c>
      <c r="BV31" s="157">
        <f t="shared" si="22"/>
        <v>105.61952400827226</v>
      </c>
      <c r="BW31" s="153"/>
      <c r="BX31" s="169">
        <f t="shared" si="23"/>
        <v>74.25450690326899</v>
      </c>
      <c r="BY31" s="286">
        <f t="shared" si="43"/>
        <v>0</v>
      </c>
      <c r="CA31"/>
    </row>
    <row r="32" spans="1:79" ht="15.75" customHeight="1">
      <c r="C32" s="2" t="s">
        <v>43</v>
      </c>
      <c r="D32" t="s">
        <v>6</v>
      </c>
      <c r="E32" s="268">
        <v>1</v>
      </c>
      <c r="F32" s="3">
        <v>0.5</v>
      </c>
      <c r="M32" s="56" t="s">
        <v>57</v>
      </c>
      <c r="N32" s="19" t="s">
        <v>8</v>
      </c>
      <c r="O32" s="51">
        <f>SUM(O30:O31)</f>
        <v>2850</v>
      </c>
      <c r="P32" s="51">
        <f>SUM(P30:P31)</f>
        <v>2400</v>
      </c>
      <c r="V32" s="58">
        <f t="shared" si="24"/>
        <v>51226</v>
      </c>
      <c r="W32" s="7">
        <v>16</v>
      </c>
      <c r="X32" s="282" t="str">
        <f t="shared" si="25"/>
        <v>維持管理・運営期間</v>
      </c>
      <c r="Y32" s="161">
        <f t="shared" si="0"/>
        <v>0</v>
      </c>
      <c r="Z32" s="159">
        <f t="shared" si="1"/>
        <v>0</v>
      </c>
      <c r="AA32" s="159">
        <f t="shared" si="2"/>
        <v>0</v>
      </c>
      <c r="AB32" s="159">
        <f t="shared" si="3"/>
        <v>0</v>
      </c>
      <c r="AC32" s="160">
        <f t="shared" si="26"/>
        <v>0</v>
      </c>
      <c r="AD32" s="161">
        <f t="shared" si="4"/>
        <v>0</v>
      </c>
      <c r="AE32" s="159">
        <f t="shared" si="5"/>
        <v>50</v>
      </c>
      <c r="AF32" s="159">
        <f t="shared" si="27"/>
        <v>10</v>
      </c>
      <c r="AG32" s="277">
        <f>IF(AND(SUM($AA$16:AA31)&gt;0,SUM($AG$16:AG31)&lt;$O$62,$W32&gt;=$O$65),$O$64,0)</f>
        <v>64.125</v>
      </c>
      <c r="AH32" s="228">
        <f>IF(SUM($AA$17:$AA31)&gt;0,($O$62-SUM($AG$17:$AG31))*$E$65,0)</f>
        <v>10.580625</v>
      </c>
      <c r="AI32" s="160">
        <f t="shared" si="28"/>
        <v>60</v>
      </c>
      <c r="AJ32" s="156">
        <f t="shared" si="6"/>
        <v>-60</v>
      </c>
      <c r="AK32" s="158">
        <f>(SUM($P$31,$P$51)-SUM($AU$17:AU31))*$O$109</f>
        <v>10.332406933609093</v>
      </c>
      <c r="AL32" s="163"/>
      <c r="AM32" s="157">
        <f t="shared" si="7"/>
        <v>-34.87091396441226</v>
      </c>
      <c r="AN32" s="164"/>
      <c r="AO32" s="155">
        <f t="shared" si="8"/>
        <v>0</v>
      </c>
      <c r="AP32" s="156">
        <f t="shared" si="9"/>
        <v>0</v>
      </c>
      <c r="AQ32" s="156">
        <f t="shared" si="10"/>
        <v>0</v>
      </c>
      <c r="AR32" s="159">
        <f t="shared" si="11"/>
        <v>0</v>
      </c>
      <c r="AS32" s="160">
        <f t="shared" si="29"/>
        <v>0</v>
      </c>
      <c r="AT32" s="159">
        <f t="shared" si="12"/>
        <v>0</v>
      </c>
      <c r="AU32" s="159">
        <f t="shared" si="13"/>
        <v>77.47262236154404</v>
      </c>
      <c r="AV32" s="159">
        <f t="shared" si="14"/>
        <v>28.146901646728214</v>
      </c>
      <c r="AW32" s="159">
        <f t="shared" si="30"/>
        <v>40</v>
      </c>
      <c r="AX32" s="278">
        <f t="shared" si="31"/>
        <v>6</v>
      </c>
      <c r="AY32" s="279">
        <f t="shared" si="15"/>
        <v>45.78</v>
      </c>
      <c r="AZ32" s="278">
        <f>IF(AND(SUM($AQ$16:AQ31)&gt;0,SUM($AZ$16:AZ31)&lt;$P$62,$W32&gt;=$P$65),$P$64,0)</f>
        <v>9</v>
      </c>
      <c r="BA32" s="159">
        <f>IF(SUM($AQ$17:$AQ31)&gt;0,($P$62-SUM($AZ$17:$AZ31))*$F$65,0)</f>
        <v>1.4849999999999999</v>
      </c>
      <c r="BB32" s="160">
        <f t="shared" si="32"/>
        <v>197.39952400827227</v>
      </c>
      <c r="BC32" s="156">
        <f t="shared" si="33"/>
        <v>-197.39952400827227</v>
      </c>
      <c r="BD32" s="157">
        <f t="shared" si="16"/>
        <v>-114.72503030513991</v>
      </c>
      <c r="BE32" s="48"/>
      <c r="BF32" s="46">
        <f t="shared" si="34"/>
        <v>0.58118189940687104</v>
      </c>
      <c r="BH32" s="155">
        <f t="shared" si="35"/>
        <v>0</v>
      </c>
      <c r="BI32" s="155">
        <f t="shared" si="36"/>
        <v>77.47262236154404</v>
      </c>
      <c r="BJ32" s="156">
        <f t="shared" si="37"/>
        <v>28.146901646728214</v>
      </c>
      <c r="BK32" s="156">
        <f t="shared" si="38"/>
        <v>40</v>
      </c>
      <c r="BL32" s="156">
        <f t="shared" si="39"/>
        <v>45.78</v>
      </c>
      <c r="BM32" s="156">
        <f t="shared" si="17"/>
        <v>0</v>
      </c>
      <c r="BN32" s="157">
        <f t="shared" si="40"/>
        <v>191.39952400827227</v>
      </c>
      <c r="BO32" s="156">
        <f t="shared" si="18"/>
        <v>0</v>
      </c>
      <c r="BP32" s="156">
        <f t="shared" si="19"/>
        <v>40</v>
      </c>
      <c r="BQ32" s="280">
        <f t="shared" si="20"/>
        <v>20.017810266848748</v>
      </c>
      <c r="BR32" s="156">
        <f t="shared" si="21"/>
        <v>12</v>
      </c>
      <c r="BS32" s="228">
        <f t="shared" si="41"/>
        <v>0</v>
      </c>
      <c r="BT32" s="156" cm="1">
        <f t="array" ref="BT32">IF($W32&lt;=$O$16,_xlfn.IFS(W32&lt;$F$16,$P$92,W32=$F$16,$P$93,W32&gt;$F$16,$P$94),0)</f>
        <v>33.78</v>
      </c>
      <c r="BU32" s="157">
        <f t="shared" si="42"/>
        <v>85.78</v>
      </c>
      <c r="BV32" s="157">
        <f t="shared" si="22"/>
        <v>105.61952400827226</v>
      </c>
      <c r="BW32" s="153"/>
      <c r="BX32" s="169">
        <f t="shared" si="23"/>
        <v>76.445014856915421</v>
      </c>
      <c r="BY32" s="286">
        <f t="shared" si="43"/>
        <v>0</v>
      </c>
      <c r="CA32"/>
    </row>
    <row r="33" spans="2:79" ht="15.75" customHeight="1">
      <c r="C33" s="2" t="s">
        <v>25</v>
      </c>
      <c r="D33" t="s">
        <v>6</v>
      </c>
      <c r="E33" s="139"/>
      <c r="F33" s="3">
        <v>0.5</v>
      </c>
      <c r="V33" s="58">
        <f t="shared" si="24"/>
        <v>51591</v>
      </c>
      <c r="W33" s="7">
        <v>17</v>
      </c>
      <c r="X33" s="282" t="str">
        <f t="shared" si="25"/>
        <v>維持管理・運営期間</v>
      </c>
      <c r="Y33" s="161">
        <f t="shared" si="0"/>
        <v>0</v>
      </c>
      <c r="Z33" s="159">
        <f t="shared" si="1"/>
        <v>0</v>
      </c>
      <c r="AA33" s="159">
        <f t="shared" si="2"/>
        <v>0</v>
      </c>
      <c r="AB33" s="159">
        <f t="shared" si="3"/>
        <v>0</v>
      </c>
      <c r="AC33" s="160">
        <f t="shared" si="26"/>
        <v>0</v>
      </c>
      <c r="AD33" s="161">
        <f t="shared" si="4"/>
        <v>0</v>
      </c>
      <c r="AE33" s="159">
        <f t="shared" si="5"/>
        <v>50</v>
      </c>
      <c r="AF33" s="159">
        <f t="shared" si="27"/>
        <v>10</v>
      </c>
      <c r="AG33" s="277">
        <f>IF(AND(SUM($AA$16:AA32)&gt;0,SUM($AG$16:AG32)&lt;$O$62,$W33&gt;=$O$65),$O$64,0)</f>
        <v>64.125</v>
      </c>
      <c r="AH33" s="228">
        <f>IF(SUM($AA$17:$AA32)&gt;0,($O$62-SUM($AG$17:$AG32))*$E$65,0)</f>
        <v>9.6187500000000004</v>
      </c>
      <c r="AI33" s="160">
        <f t="shared" si="28"/>
        <v>60</v>
      </c>
      <c r="AJ33" s="156">
        <f t="shared" si="6"/>
        <v>-60</v>
      </c>
      <c r="AK33" s="158">
        <f>(SUM($P$31,$P$51)-SUM($AU$17:AU32))*$O$109</f>
        <v>9.2090539093667036</v>
      </c>
      <c r="AL33" s="163"/>
      <c r="AM33" s="157">
        <f t="shared" si="7"/>
        <v>-33.707988365792424</v>
      </c>
      <c r="AN33" s="164"/>
      <c r="AO33" s="155">
        <f t="shared" si="8"/>
        <v>0</v>
      </c>
      <c r="AP33" s="156">
        <f t="shared" si="9"/>
        <v>0</v>
      </c>
      <c r="AQ33" s="156">
        <f t="shared" si="10"/>
        <v>0</v>
      </c>
      <c r="AR33" s="159">
        <f t="shared" si="11"/>
        <v>0</v>
      </c>
      <c r="AS33" s="160">
        <f t="shared" si="29"/>
        <v>0</v>
      </c>
      <c r="AT33" s="159">
        <f t="shared" si="12"/>
        <v>0</v>
      </c>
      <c r="AU33" s="159">
        <f t="shared" si="13"/>
        <v>80.532790944825024</v>
      </c>
      <c r="AV33" s="159">
        <f t="shared" si="14"/>
        <v>25.08673306344722</v>
      </c>
      <c r="AW33" s="159">
        <f t="shared" si="30"/>
        <v>40</v>
      </c>
      <c r="AX33" s="278">
        <f t="shared" si="31"/>
        <v>6</v>
      </c>
      <c r="AY33" s="279">
        <f t="shared" si="15"/>
        <v>45.78</v>
      </c>
      <c r="AZ33" s="278">
        <f>IF(AND(SUM($AQ$16:AQ32)&gt;0,SUM($AZ$16:AZ32)&lt;$P$62,$W33&gt;=$P$65),$P$64,0)</f>
        <v>9</v>
      </c>
      <c r="BA33" s="159">
        <f>IF(SUM($AQ$17:$AQ32)&gt;0,($P$62-SUM($AZ$17:$AZ32))*$F$65,0)</f>
        <v>1.3499999999999999</v>
      </c>
      <c r="BB33" s="160">
        <f t="shared" si="32"/>
        <v>197.39952400827224</v>
      </c>
      <c r="BC33" s="156">
        <f t="shared" si="33"/>
        <v>-197.39952400827224</v>
      </c>
      <c r="BD33" s="157">
        <f t="shared" si="16"/>
        <v>-110.89901431139673</v>
      </c>
      <c r="BE33" s="48"/>
      <c r="BF33" s="46">
        <f t="shared" si="34"/>
        <v>0.56179980609654045</v>
      </c>
      <c r="BH33" s="155">
        <f t="shared" si="35"/>
        <v>0</v>
      </c>
      <c r="BI33" s="155">
        <f t="shared" si="36"/>
        <v>80.532790944825024</v>
      </c>
      <c r="BJ33" s="156">
        <f t="shared" si="37"/>
        <v>25.08673306344722</v>
      </c>
      <c r="BK33" s="156">
        <f t="shared" si="38"/>
        <v>40</v>
      </c>
      <c r="BL33" s="156">
        <f t="shared" si="39"/>
        <v>45.78</v>
      </c>
      <c r="BM33" s="156">
        <f t="shared" si="17"/>
        <v>0</v>
      </c>
      <c r="BN33" s="157">
        <f t="shared" si="40"/>
        <v>191.39952400827224</v>
      </c>
      <c r="BO33" s="156">
        <f t="shared" si="18"/>
        <v>0</v>
      </c>
      <c r="BP33" s="156">
        <f t="shared" si="19"/>
        <v>40</v>
      </c>
      <c r="BQ33" s="280">
        <f t="shared" si="20"/>
        <v>17.762682328569745</v>
      </c>
      <c r="BR33" s="156">
        <f t="shared" si="21"/>
        <v>12</v>
      </c>
      <c r="BS33" s="228">
        <f t="shared" si="41"/>
        <v>0</v>
      </c>
      <c r="BT33" s="156" cm="1">
        <f t="array" ref="BT33">IF($W33&lt;=$O$16,_xlfn.IFS(W33&lt;$F$16,$P$92,W33=$F$16,$P$93,W33&gt;$F$16,$P$94),0)</f>
        <v>33.78</v>
      </c>
      <c r="BU33" s="157">
        <f t="shared" si="42"/>
        <v>85.78</v>
      </c>
      <c r="BV33" s="157">
        <f t="shared" si="22"/>
        <v>105.61952400827224</v>
      </c>
      <c r="BW33" s="153"/>
      <c r="BX33" s="169">
        <f t="shared" si="23"/>
        <v>78.700142795194424</v>
      </c>
      <c r="BY33" s="286">
        <f t="shared" si="43"/>
        <v>0</v>
      </c>
      <c r="CA33"/>
    </row>
    <row r="34" spans="2:79" ht="15.75" customHeight="1">
      <c r="E34" s="13">
        <f>SUM(E32:E33)</f>
        <v>1</v>
      </c>
      <c r="F34" s="13">
        <f>SUM(F32:F33)</f>
        <v>1</v>
      </c>
      <c r="V34" s="58">
        <f t="shared" si="24"/>
        <v>51956</v>
      </c>
      <c r="W34" s="7">
        <v>18</v>
      </c>
      <c r="X34" s="282" t="str">
        <f t="shared" si="25"/>
        <v>維持管理・運営期間</v>
      </c>
      <c r="Y34" s="161">
        <f t="shared" si="0"/>
        <v>0</v>
      </c>
      <c r="Z34" s="159">
        <f t="shared" si="1"/>
        <v>0</v>
      </c>
      <c r="AA34" s="159">
        <f t="shared" si="2"/>
        <v>0</v>
      </c>
      <c r="AB34" s="159">
        <f t="shared" si="3"/>
        <v>0</v>
      </c>
      <c r="AC34" s="160">
        <f t="shared" si="26"/>
        <v>0</v>
      </c>
      <c r="AD34" s="161">
        <f t="shared" si="4"/>
        <v>0</v>
      </c>
      <c r="AE34" s="159">
        <f t="shared" si="5"/>
        <v>50</v>
      </c>
      <c r="AF34" s="159">
        <f t="shared" si="27"/>
        <v>10</v>
      </c>
      <c r="AG34" s="277">
        <f>IF(AND(SUM($AA$16:AA33)&gt;0,SUM($AG$16:AG33)&lt;$O$62,$W34&gt;=$O$65),$O$64,0)</f>
        <v>64.125</v>
      </c>
      <c r="AH34" s="228">
        <f>IF(SUM($AA$17:$AA33)&gt;0,($O$62-SUM($AG$17:$AG33))*$E$65,0)</f>
        <v>8.6568749999999994</v>
      </c>
      <c r="AI34" s="160">
        <f t="shared" si="28"/>
        <v>60</v>
      </c>
      <c r="AJ34" s="156">
        <f t="shared" si="6"/>
        <v>-60</v>
      </c>
      <c r="AK34" s="158">
        <f>(SUM($P$31,$P$51)-SUM($AU$17:AU33))*$O$109</f>
        <v>8.0413284406667405</v>
      </c>
      <c r="AL34" s="163"/>
      <c r="AM34" s="157">
        <f t="shared" si="7"/>
        <v>-32.583845689504521</v>
      </c>
      <c r="AN34" s="164"/>
      <c r="AO34" s="155">
        <f t="shared" si="8"/>
        <v>0</v>
      </c>
      <c r="AP34" s="156">
        <f t="shared" si="9"/>
        <v>0</v>
      </c>
      <c r="AQ34" s="156">
        <f t="shared" si="10"/>
        <v>0</v>
      </c>
      <c r="AR34" s="159">
        <f t="shared" si="11"/>
        <v>0</v>
      </c>
      <c r="AS34" s="160">
        <f t="shared" si="29"/>
        <v>0</v>
      </c>
      <c r="AT34" s="159">
        <f t="shared" si="12"/>
        <v>0</v>
      </c>
      <c r="AU34" s="159">
        <f t="shared" si="13"/>
        <v>83.713836187145603</v>
      </c>
      <c r="AV34" s="159">
        <f t="shared" si="14"/>
        <v>21.905687821126637</v>
      </c>
      <c r="AW34" s="159">
        <f t="shared" si="30"/>
        <v>40</v>
      </c>
      <c r="AX34" s="278">
        <f t="shared" si="31"/>
        <v>6</v>
      </c>
      <c r="AY34" s="279">
        <f t="shared" si="15"/>
        <v>45.78</v>
      </c>
      <c r="AZ34" s="278">
        <f>IF(AND(SUM($AQ$16:AQ33)&gt;0,SUM($AZ$16:AZ33)&lt;$P$62,$W34&gt;=$P$65),$P$64,0)</f>
        <v>9</v>
      </c>
      <c r="BA34" s="159">
        <f>IF(SUM($AQ$17:$AQ33)&gt;0,($P$62-SUM($AZ$17:$AZ33))*$F$65,0)</f>
        <v>1.2149999999999999</v>
      </c>
      <c r="BB34" s="160">
        <f t="shared" si="32"/>
        <v>197.39952400827224</v>
      </c>
      <c r="BC34" s="156">
        <f t="shared" si="33"/>
        <v>-197.39952400827224</v>
      </c>
      <c r="BD34" s="157">
        <f t="shared" si="16"/>
        <v>-107.20059382445309</v>
      </c>
      <c r="BE34" s="48"/>
      <c r="BF34" s="46">
        <f t="shared" si="34"/>
        <v>0.54306409482507534</v>
      </c>
      <c r="BH34" s="155">
        <f t="shared" si="35"/>
        <v>0</v>
      </c>
      <c r="BI34" s="155">
        <f t="shared" si="36"/>
        <v>83.713836187145603</v>
      </c>
      <c r="BJ34" s="156">
        <f t="shared" si="37"/>
        <v>21.905687821126637</v>
      </c>
      <c r="BK34" s="156">
        <f t="shared" si="38"/>
        <v>40</v>
      </c>
      <c r="BL34" s="156">
        <f t="shared" si="39"/>
        <v>45.78</v>
      </c>
      <c r="BM34" s="156">
        <f t="shared" si="17"/>
        <v>0</v>
      </c>
      <c r="BN34" s="157">
        <f t="shared" si="40"/>
        <v>191.39952400827224</v>
      </c>
      <c r="BO34" s="156">
        <f t="shared" si="18"/>
        <v>0</v>
      </c>
      <c r="BP34" s="156">
        <f t="shared" si="19"/>
        <v>40</v>
      </c>
      <c r="BQ34" s="280">
        <f t="shared" si="20"/>
        <v>15.441028116111511</v>
      </c>
      <c r="BR34" s="156">
        <f t="shared" si="21"/>
        <v>12</v>
      </c>
      <c r="BS34" s="228">
        <f t="shared" si="41"/>
        <v>0</v>
      </c>
      <c r="BT34" s="156" cm="1">
        <f t="array" ref="BT34">IF($W34&lt;=$O$16,_xlfn.IFS(W34&lt;$F$16,$P$92,W34=$F$16,$P$93,W34&gt;$F$16,$P$94),0)</f>
        <v>33.78</v>
      </c>
      <c r="BU34" s="157">
        <f t="shared" si="42"/>
        <v>85.78</v>
      </c>
      <c r="BV34" s="157">
        <f t="shared" si="22"/>
        <v>105.61952400827224</v>
      </c>
      <c r="BW34" s="153"/>
      <c r="BX34" s="169">
        <f t="shared" si="23"/>
        <v>81.021797007652665</v>
      </c>
      <c r="BY34" s="286">
        <f t="shared" si="43"/>
        <v>0</v>
      </c>
      <c r="CA34"/>
    </row>
    <row r="35" spans="2:79" ht="15.75" customHeight="1">
      <c r="B35" s="56" t="s">
        <v>182</v>
      </c>
      <c r="C35" s="2" t="s">
        <v>10</v>
      </c>
      <c r="D35" t="s">
        <v>6</v>
      </c>
      <c r="F35" s="15">
        <v>1.4500000000000001E-2</v>
      </c>
      <c r="J35" s="102" t="s">
        <v>193</v>
      </c>
      <c r="P35" t="s">
        <v>1</v>
      </c>
      <c r="V35" s="58">
        <f t="shared" si="24"/>
        <v>52321</v>
      </c>
      <c r="W35" s="7">
        <v>19</v>
      </c>
      <c r="X35" s="282" t="str">
        <f t="shared" si="25"/>
        <v>維持管理・運営期間</v>
      </c>
      <c r="Y35" s="161">
        <f t="shared" si="0"/>
        <v>0</v>
      </c>
      <c r="Z35" s="159">
        <f t="shared" si="1"/>
        <v>0</v>
      </c>
      <c r="AA35" s="159">
        <f t="shared" si="2"/>
        <v>0</v>
      </c>
      <c r="AB35" s="159">
        <f t="shared" si="3"/>
        <v>0</v>
      </c>
      <c r="AC35" s="160">
        <f t="shared" si="26"/>
        <v>0</v>
      </c>
      <c r="AD35" s="161">
        <f t="shared" si="4"/>
        <v>0</v>
      </c>
      <c r="AE35" s="159">
        <f t="shared" si="5"/>
        <v>50</v>
      </c>
      <c r="AF35" s="159">
        <f t="shared" si="27"/>
        <v>10</v>
      </c>
      <c r="AG35" s="277">
        <f>IF(AND(SUM($AA$16:AA34)&gt;0,SUM($AG$16:AG34)&lt;$O$62,$W35&gt;=$O$65),$O$64,0)</f>
        <v>64.125</v>
      </c>
      <c r="AH35" s="228">
        <f>IF(SUM($AA$17:$AA34)&gt;0,($O$62-SUM($AG$17:$AG34))*$E$65,0)</f>
        <v>7.6949999999999994</v>
      </c>
      <c r="AI35" s="160">
        <f t="shared" si="28"/>
        <v>60</v>
      </c>
      <c r="AJ35" s="156">
        <f t="shared" si="6"/>
        <v>-60</v>
      </c>
      <c r="AK35" s="158">
        <f>(SUM($P$31,$P$51)-SUM($AU$17:AU34))*$O$109</f>
        <v>6.82747781595313</v>
      </c>
      <c r="AL35" s="163"/>
      <c r="AM35" s="157">
        <f t="shared" si="7"/>
        <v>-31.497192546645262</v>
      </c>
      <c r="AN35" s="164"/>
      <c r="AO35" s="155">
        <f t="shared" si="8"/>
        <v>0</v>
      </c>
      <c r="AP35" s="156">
        <f t="shared" si="9"/>
        <v>0</v>
      </c>
      <c r="AQ35" s="156">
        <f t="shared" si="10"/>
        <v>0</v>
      </c>
      <c r="AR35" s="159">
        <f t="shared" si="11"/>
        <v>0</v>
      </c>
      <c r="AS35" s="160">
        <f t="shared" si="29"/>
        <v>0</v>
      </c>
      <c r="AT35" s="159">
        <f t="shared" si="12"/>
        <v>0</v>
      </c>
      <c r="AU35" s="159">
        <f t="shared" si="13"/>
        <v>87.020532716537858</v>
      </c>
      <c r="AV35" s="159">
        <f t="shared" si="14"/>
        <v>18.598991291734382</v>
      </c>
      <c r="AW35" s="159">
        <f t="shared" si="30"/>
        <v>40</v>
      </c>
      <c r="AX35" s="278">
        <f t="shared" si="31"/>
        <v>6</v>
      </c>
      <c r="AY35" s="279">
        <f t="shared" si="15"/>
        <v>45.78</v>
      </c>
      <c r="AZ35" s="278">
        <f>IF(AND(SUM($AQ$16:AQ34)&gt;0,SUM($AZ$16:AZ34)&lt;$P$62,$W35&gt;=$P$65),$P$64,0)</f>
        <v>9</v>
      </c>
      <c r="BA35" s="159">
        <f>IF(SUM($AQ$17:$AQ34)&gt;0,($P$62-SUM($AZ$17:$AZ34))*$F$65,0)</f>
        <v>1.08</v>
      </c>
      <c r="BB35" s="160">
        <f t="shared" si="32"/>
        <v>197.39952400827224</v>
      </c>
      <c r="BC35" s="156">
        <f t="shared" si="33"/>
        <v>-197.39952400827224</v>
      </c>
      <c r="BD35" s="157">
        <f t="shared" si="16"/>
        <v>-103.62551360507791</v>
      </c>
      <c r="BE35" s="48"/>
      <c r="BF35" s="46">
        <f t="shared" si="34"/>
        <v>0.52495320911075438</v>
      </c>
      <c r="BH35" s="155">
        <f t="shared" si="35"/>
        <v>0</v>
      </c>
      <c r="BI35" s="155">
        <f t="shared" si="36"/>
        <v>87.020532716537858</v>
      </c>
      <c r="BJ35" s="156">
        <f t="shared" si="37"/>
        <v>18.598991291734382</v>
      </c>
      <c r="BK35" s="156">
        <f t="shared" si="38"/>
        <v>40</v>
      </c>
      <c r="BL35" s="156">
        <f t="shared" si="39"/>
        <v>45.78</v>
      </c>
      <c r="BM35" s="156">
        <f t="shared" si="17"/>
        <v>0</v>
      </c>
      <c r="BN35" s="157">
        <f t="shared" si="40"/>
        <v>191.39952400827224</v>
      </c>
      <c r="BO35" s="156">
        <f t="shared" si="18"/>
        <v>0</v>
      </c>
      <c r="BP35" s="156">
        <f t="shared" si="19"/>
        <v>40</v>
      </c>
      <c r="BQ35" s="280">
        <f t="shared" si="20"/>
        <v>13.05088510438576</v>
      </c>
      <c r="BR35" s="156">
        <f t="shared" si="21"/>
        <v>12</v>
      </c>
      <c r="BS35" s="228">
        <f t="shared" si="41"/>
        <v>0</v>
      </c>
      <c r="BT35" s="156" cm="1">
        <f t="array" ref="BT35">IF($W35&lt;=$O$16,_xlfn.IFS(W35&lt;$F$16,$P$92,W35=$F$16,$P$93,W35&gt;$F$16,$P$94),0)</f>
        <v>33.78</v>
      </c>
      <c r="BU35" s="157">
        <f t="shared" si="42"/>
        <v>85.78</v>
      </c>
      <c r="BV35" s="157">
        <f t="shared" si="22"/>
        <v>105.61952400827224</v>
      </c>
      <c r="BW35" s="153"/>
      <c r="BX35" s="169">
        <f t="shared" si="23"/>
        <v>83.41194001937842</v>
      </c>
      <c r="BY35" s="286">
        <f t="shared" si="43"/>
        <v>0</v>
      </c>
      <c r="CA35"/>
    </row>
    <row r="36" spans="2:79" ht="15.75" customHeight="1">
      <c r="C36" s="2" t="s">
        <v>181</v>
      </c>
      <c r="D36" t="s">
        <v>6</v>
      </c>
      <c r="F36" s="140">
        <f>F70</f>
        <v>1.4999999999999999E-2</v>
      </c>
      <c r="J36" s="4"/>
      <c r="K36" s="56" t="s">
        <v>58</v>
      </c>
      <c r="N36" s="19" t="s">
        <v>6</v>
      </c>
      <c r="O36" s="53"/>
      <c r="P36" s="36">
        <f>SUM(F35:F37)</f>
        <v>3.95E-2</v>
      </c>
      <c r="V36" s="58">
        <f t="shared" si="24"/>
        <v>52687</v>
      </c>
      <c r="W36" s="7">
        <v>20</v>
      </c>
      <c r="X36" s="282" t="str">
        <f t="shared" si="25"/>
        <v>維持管理・運営期間</v>
      </c>
      <c r="Y36" s="161">
        <f t="shared" si="0"/>
        <v>0</v>
      </c>
      <c r="Z36" s="159">
        <f t="shared" si="1"/>
        <v>0</v>
      </c>
      <c r="AA36" s="159">
        <f t="shared" si="2"/>
        <v>0</v>
      </c>
      <c r="AB36" s="159">
        <f t="shared" si="3"/>
        <v>0</v>
      </c>
      <c r="AC36" s="160">
        <f t="shared" si="26"/>
        <v>0</v>
      </c>
      <c r="AD36" s="161">
        <f t="shared" si="4"/>
        <v>0</v>
      </c>
      <c r="AE36" s="159">
        <f t="shared" si="5"/>
        <v>50</v>
      </c>
      <c r="AF36" s="159">
        <f t="shared" si="27"/>
        <v>10</v>
      </c>
      <c r="AG36" s="277">
        <f>IF(AND(SUM($AA$16:AA35)&gt;0,SUM($AG$16:AG35)&lt;$O$62,$W36&gt;=$O$65),$O$64,0)</f>
        <v>64.125</v>
      </c>
      <c r="AH36" s="228">
        <f>IF(SUM($AA$17:$AA35)&gt;0,($O$62-SUM($AG$17:$AG35))*$E$65,0)</f>
        <v>6.7331249999999994</v>
      </c>
      <c r="AI36" s="160">
        <f t="shared" si="28"/>
        <v>60</v>
      </c>
      <c r="AJ36" s="156">
        <f t="shared" si="6"/>
        <v>-60</v>
      </c>
      <c r="AK36" s="158">
        <f>(SUM($P$31,$P$51)-SUM($AU$17:AU35))*$O$109</f>
        <v>5.5656800915633324</v>
      </c>
      <c r="AL36" s="163"/>
      <c r="AM36" s="157">
        <f t="shared" si="7"/>
        <v>-30.446778682112388</v>
      </c>
      <c r="AN36" s="164"/>
      <c r="AO36" s="155">
        <f t="shared" si="8"/>
        <v>0</v>
      </c>
      <c r="AP36" s="156">
        <f t="shared" si="9"/>
        <v>0</v>
      </c>
      <c r="AQ36" s="156">
        <f t="shared" si="10"/>
        <v>0</v>
      </c>
      <c r="AR36" s="159">
        <f t="shared" si="11"/>
        <v>0</v>
      </c>
      <c r="AS36" s="160">
        <f t="shared" si="29"/>
        <v>0</v>
      </c>
      <c r="AT36" s="159">
        <f t="shared" si="12"/>
        <v>0</v>
      </c>
      <c r="AU36" s="159">
        <f t="shared" si="13"/>
        <v>90.457843758841122</v>
      </c>
      <c r="AV36" s="159">
        <f t="shared" si="14"/>
        <v>15.161680249431141</v>
      </c>
      <c r="AW36" s="159">
        <f t="shared" si="30"/>
        <v>40</v>
      </c>
      <c r="AX36" s="278">
        <f t="shared" si="31"/>
        <v>6</v>
      </c>
      <c r="AY36" s="279">
        <f t="shared" si="15"/>
        <v>45.78</v>
      </c>
      <c r="AZ36" s="278">
        <f>IF(AND(SUM($AQ$16:AQ35)&gt;0,SUM($AZ$16:AZ35)&lt;$P$62,$W36&gt;=$P$65),$P$64,0)</f>
        <v>9</v>
      </c>
      <c r="BA36" s="159">
        <f>IF(SUM($AQ$17:$AQ35)&gt;0,($P$62-SUM($AZ$17:$AZ35))*$F$65,0)</f>
        <v>0.94499999999999995</v>
      </c>
      <c r="BB36" s="160">
        <f t="shared" si="32"/>
        <v>197.39952400827227</v>
      </c>
      <c r="BC36" s="156">
        <f t="shared" si="33"/>
        <v>-197.39952400827227</v>
      </c>
      <c r="BD36" s="157">
        <f t="shared" si="16"/>
        <v>-100.16966032390327</v>
      </c>
      <c r="BE36" s="48"/>
      <c r="BF36" s="46">
        <f t="shared" si="34"/>
        <v>0.50744631136853979</v>
      </c>
      <c r="BH36" s="155">
        <f t="shared" si="35"/>
        <v>0</v>
      </c>
      <c r="BI36" s="155">
        <f t="shared" si="36"/>
        <v>90.457843758841122</v>
      </c>
      <c r="BJ36" s="156">
        <f t="shared" si="37"/>
        <v>15.161680249431141</v>
      </c>
      <c r="BK36" s="156">
        <f t="shared" si="38"/>
        <v>40</v>
      </c>
      <c r="BL36" s="156">
        <f t="shared" si="39"/>
        <v>45.78</v>
      </c>
      <c r="BM36" s="156">
        <f t="shared" si="17"/>
        <v>0</v>
      </c>
      <c r="BN36" s="157">
        <f t="shared" si="40"/>
        <v>191.39952400827227</v>
      </c>
      <c r="BO36" s="156">
        <f t="shared" si="18"/>
        <v>0</v>
      </c>
      <c r="BP36" s="156">
        <f t="shared" si="19"/>
        <v>40</v>
      </c>
      <c r="BQ36" s="280">
        <f t="shared" si="20"/>
        <v>10.590232873814093</v>
      </c>
      <c r="BR36" s="156">
        <f t="shared" si="21"/>
        <v>12</v>
      </c>
      <c r="BS36" s="228">
        <f t="shared" si="41"/>
        <v>0</v>
      </c>
      <c r="BT36" s="156" cm="1">
        <f t="array" ref="BT36">IF($W36&lt;=$O$16,_xlfn.IFS(W36&lt;$F$16,$P$92,W36=$F$16,$P$93,W36&gt;$F$16,$P$94),0)</f>
        <v>33.78</v>
      </c>
      <c r="BU36" s="157">
        <f t="shared" si="42"/>
        <v>85.78</v>
      </c>
      <c r="BV36" s="157">
        <f t="shared" si="22"/>
        <v>105.61952400827226</v>
      </c>
      <c r="BW36" s="153"/>
      <c r="BX36" s="169">
        <f t="shared" si="23"/>
        <v>85.872592249950074</v>
      </c>
      <c r="BY36" s="286">
        <f t="shared" si="43"/>
        <v>0</v>
      </c>
      <c r="CA36"/>
    </row>
    <row r="37" spans="2:79" ht="15.75" customHeight="1">
      <c r="C37" s="2" t="s">
        <v>11</v>
      </c>
      <c r="D37" t="s">
        <v>6</v>
      </c>
      <c r="F37" s="15">
        <v>0.01</v>
      </c>
      <c r="V37" s="58">
        <f t="shared" si="24"/>
        <v>53052</v>
      </c>
      <c r="W37" s="7">
        <v>21</v>
      </c>
      <c r="X37" s="282" t="str">
        <f t="shared" si="25"/>
        <v>維持管理・運営期間</v>
      </c>
      <c r="Y37" s="161">
        <f t="shared" si="0"/>
        <v>0</v>
      </c>
      <c r="Z37" s="159">
        <f t="shared" si="1"/>
        <v>0</v>
      </c>
      <c r="AA37" s="159">
        <f t="shared" si="2"/>
        <v>0</v>
      </c>
      <c r="AB37" s="159">
        <f t="shared" si="3"/>
        <v>0</v>
      </c>
      <c r="AC37" s="160">
        <f t="shared" si="26"/>
        <v>0</v>
      </c>
      <c r="AD37" s="161">
        <f t="shared" si="4"/>
        <v>0</v>
      </c>
      <c r="AE37" s="159">
        <f t="shared" si="5"/>
        <v>50</v>
      </c>
      <c r="AF37" s="159">
        <f t="shared" si="27"/>
        <v>10</v>
      </c>
      <c r="AG37" s="277">
        <f>IF(AND(SUM($AA$16:AA36)&gt;0,SUM($AG$16:AG36)&lt;$O$62,$W37&gt;=$O$65),$O$64,0)</f>
        <v>64.125</v>
      </c>
      <c r="AH37" s="228">
        <f>IF(SUM($AA$17:$AA36)&gt;0,($O$62-SUM($AG$17:$AG36))*$E$65,0)</f>
        <v>5.7712500000000002</v>
      </c>
      <c r="AI37" s="160">
        <f t="shared" si="28"/>
        <v>60</v>
      </c>
      <c r="AJ37" s="156">
        <f t="shared" si="6"/>
        <v>-60</v>
      </c>
      <c r="AK37" s="158">
        <f>(SUM($P$31,$P$51)-SUM($AU$17:AU36))*$O$109</f>
        <v>4.2540413570601361</v>
      </c>
      <c r="AL37" s="163"/>
      <c r="AM37" s="157">
        <f t="shared" si="7"/>
        <v>-29.431395536116373</v>
      </c>
      <c r="AN37" s="164"/>
      <c r="AO37" s="155">
        <f t="shared" si="8"/>
        <v>0</v>
      </c>
      <c r="AP37" s="156">
        <f t="shared" si="9"/>
        <v>0</v>
      </c>
      <c r="AQ37" s="156">
        <f t="shared" si="10"/>
        <v>0</v>
      </c>
      <c r="AR37" s="159">
        <f t="shared" si="11"/>
        <v>0</v>
      </c>
      <c r="AS37" s="160">
        <f t="shared" si="29"/>
        <v>0</v>
      </c>
      <c r="AT37" s="159">
        <f t="shared" si="12"/>
        <v>0</v>
      </c>
      <c r="AU37" s="159">
        <f t="shared" si="13"/>
        <v>94.030928587315344</v>
      </c>
      <c r="AV37" s="159">
        <f t="shared" si="14"/>
        <v>11.588595420956914</v>
      </c>
      <c r="AW37" s="159">
        <f t="shared" si="30"/>
        <v>40</v>
      </c>
      <c r="AX37" s="278">
        <f t="shared" si="31"/>
        <v>6</v>
      </c>
      <c r="AY37" s="279">
        <f t="shared" si="15"/>
        <v>45.78</v>
      </c>
      <c r="AZ37" s="278">
        <f>IF(AND(SUM($AQ$16:AQ36)&gt;0,SUM($AZ$16:AZ36)&lt;$P$62,$W37&gt;=$P$65),$P$64,0)</f>
        <v>9</v>
      </c>
      <c r="BA37" s="159">
        <f>IF(SUM($AQ$17:$AQ36)&gt;0,($P$62-SUM($AZ$17:$AZ36))*$F$65,0)</f>
        <v>0.80999999999999994</v>
      </c>
      <c r="BB37" s="160">
        <f t="shared" si="32"/>
        <v>197.39952400827227</v>
      </c>
      <c r="BC37" s="156">
        <f t="shared" si="33"/>
        <v>-197.39952400827227</v>
      </c>
      <c r="BD37" s="157">
        <f t="shared" si="16"/>
        <v>-96.829057828809354</v>
      </c>
      <c r="BE37" s="48"/>
      <c r="BF37" s="46">
        <f t="shared" si="34"/>
        <v>0.49052325893527288</v>
      </c>
      <c r="BH37" s="155">
        <f t="shared" si="35"/>
        <v>0</v>
      </c>
      <c r="BI37" s="155">
        <f t="shared" si="36"/>
        <v>94.030928587315344</v>
      </c>
      <c r="BJ37" s="156">
        <f t="shared" si="37"/>
        <v>11.588595420956914</v>
      </c>
      <c r="BK37" s="156">
        <f t="shared" si="38"/>
        <v>40</v>
      </c>
      <c r="BL37" s="156">
        <f t="shared" si="39"/>
        <v>45.78</v>
      </c>
      <c r="BM37" s="156">
        <f t="shared" si="17"/>
        <v>0</v>
      </c>
      <c r="BN37" s="157">
        <f t="shared" si="40"/>
        <v>191.39952400827227</v>
      </c>
      <c r="BO37" s="156">
        <f t="shared" si="18"/>
        <v>0</v>
      </c>
      <c r="BP37" s="156">
        <f t="shared" si="19"/>
        <v>40</v>
      </c>
      <c r="BQ37" s="280">
        <f t="shared" si="20"/>
        <v>8.0569914024405662</v>
      </c>
      <c r="BR37" s="156">
        <f t="shared" si="21"/>
        <v>12</v>
      </c>
      <c r="BS37" s="228">
        <f t="shared" si="41"/>
        <v>0</v>
      </c>
      <c r="BT37" s="156" cm="1">
        <f t="array" ref="BT37">IF($W37&lt;=$O$16,_xlfn.IFS(W37&lt;$F$16,$P$92,W37=$F$16,$P$93,W37&gt;$F$16,$P$94),0)</f>
        <v>33.78</v>
      </c>
      <c r="BU37" s="157">
        <f t="shared" si="42"/>
        <v>85.78</v>
      </c>
      <c r="BV37" s="157">
        <f t="shared" si="22"/>
        <v>105.61952400827226</v>
      </c>
      <c r="BW37" s="153"/>
      <c r="BX37" s="169">
        <f t="shared" si="23"/>
        <v>88.405833721323603</v>
      </c>
      <c r="BY37" s="286">
        <f t="shared" si="43"/>
        <v>0</v>
      </c>
      <c r="CA37"/>
    </row>
    <row r="38" spans="2:79" ht="15.75" customHeight="1">
      <c r="C38" s="99"/>
      <c r="D38" s="101" t="s">
        <v>103</v>
      </c>
      <c r="E38" s="100"/>
      <c r="F38" s="98">
        <f>BY15</f>
        <v>0</v>
      </c>
      <c r="V38" s="58">
        <f t="shared" si="24"/>
        <v>53417</v>
      </c>
      <c r="W38" s="7">
        <v>22</v>
      </c>
      <c r="X38" s="282" t="str">
        <f t="shared" si="25"/>
        <v>維持管理・運営期間</v>
      </c>
      <c r="Y38" s="161">
        <f t="shared" si="0"/>
        <v>0</v>
      </c>
      <c r="Z38" s="159">
        <f t="shared" si="1"/>
        <v>0</v>
      </c>
      <c r="AA38" s="159">
        <f t="shared" si="2"/>
        <v>0</v>
      </c>
      <c r="AB38" s="159">
        <f t="shared" si="3"/>
        <v>0</v>
      </c>
      <c r="AC38" s="160">
        <f t="shared" si="26"/>
        <v>0</v>
      </c>
      <c r="AD38" s="161">
        <f t="shared" si="4"/>
        <v>0</v>
      </c>
      <c r="AE38" s="159">
        <f t="shared" si="5"/>
        <v>50</v>
      </c>
      <c r="AF38" s="159">
        <f t="shared" si="27"/>
        <v>10</v>
      </c>
      <c r="AG38" s="277">
        <f>IF(AND(SUM($AA$16:AA37)&gt;0,SUM($AG$16:AG37)&lt;$O$62,$W38&gt;=$O$65),$O$64,0)</f>
        <v>64.125</v>
      </c>
      <c r="AH38" s="228">
        <f>IF(SUM($AA$17:$AA37)&gt;0,($O$62-SUM($AG$17:$AG37))*$E$65,0)</f>
        <v>4.8093750000000002</v>
      </c>
      <c r="AI38" s="160">
        <f t="shared" si="28"/>
        <v>60</v>
      </c>
      <c r="AJ38" s="156">
        <f t="shared" si="6"/>
        <v>-60</v>
      </c>
      <c r="AK38" s="158">
        <f>(SUM($P$31,$P$51)-SUM($AU$17:AU37))*$O$109</f>
        <v>2.890592892544062</v>
      </c>
      <c r="AL38" s="163"/>
      <c r="AM38" s="157">
        <f t="shared" si="7"/>
        <v>-28.449874853664934</v>
      </c>
      <c r="AN38" s="164"/>
      <c r="AO38" s="155">
        <f t="shared" si="8"/>
        <v>0</v>
      </c>
      <c r="AP38" s="156">
        <f t="shared" si="9"/>
        <v>0</v>
      </c>
      <c r="AQ38" s="156">
        <f t="shared" si="10"/>
        <v>0</v>
      </c>
      <c r="AR38" s="159">
        <f t="shared" si="11"/>
        <v>0</v>
      </c>
      <c r="AS38" s="160">
        <f t="shared" si="29"/>
        <v>0</v>
      </c>
      <c r="AT38" s="159">
        <f t="shared" si="12"/>
        <v>0</v>
      </c>
      <c r="AU38" s="159">
        <f t="shared" si="13"/>
        <v>97.745150266514301</v>
      </c>
      <c r="AV38" s="159">
        <f t="shared" si="14"/>
        <v>7.8743737417579593</v>
      </c>
      <c r="AW38" s="159">
        <f t="shared" si="30"/>
        <v>40</v>
      </c>
      <c r="AX38" s="278">
        <f t="shared" si="31"/>
        <v>6</v>
      </c>
      <c r="AY38" s="279">
        <f t="shared" si="15"/>
        <v>45.78</v>
      </c>
      <c r="AZ38" s="278">
        <f>IF(AND(SUM($AQ$16:AQ37)&gt;0,SUM($AZ$16:AZ37)&lt;$P$62,$W38&gt;=$P$65),$P$64,0)</f>
        <v>9</v>
      </c>
      <c r="BA38" s="159">
        <f>IF(SUM($AQ$17:$AQ37)&gt;0,($P$62-SUM($AZ$17:$AZ37))*$F$65,0)</f>
        <v>0.67499999999999993</v>
      </c>
      <c r="BB38" s="160">
        <f t="shared" si="32"/>
        <v>197.39952400827227</v>
      </c>
      <c r="BC38" s="156">
        <f t="shared" si="33"/>
        <v>-197.39952400827227</v>
      </c>
      <c r="BD38" s="157">
        <f t="shared" si="16"/>
        <v>-93.599862570139535</v>
      </c>
      <c r="BE38" s="48"/>
      <c r="BF38" s="46">
        <f t="shared" si="34"/>
        <v>0.47416458089441554</v>
      </c>
      <c r="BH38" s="155">
        <f t="shared" si="35"/>
        <v>0</v>
      </c>
      <c r="BI38" s="155">
        <f t="shared" si="36"/>
        <v>97.745150266514301</v>
      </c>
      <c r="BJ38" s="156">
        <f t="shared" si="37"/>
        <v>7.8743737417579593</v>
      </c>
      <c r="BK38" s="156">
        <f t="shared" si="38"/>
        <v>40</v>
      </c>
      <c r="BL38" s="156">
        <f t="shared" si="39"/>
        <v>45.78</v>
      </c>
      <c r="BM38" s="156">
        <f t="shared" si="17"/>
        <v>0</v>
      </c>
      <c r="BN38" s="157">
        <f t="shared" si="40"/>
        <v>191.39952400827227</v>
      </c>
      <c r="BO38" s="156">
        <f t="shared" si="18"/>
        <v>0</v>
      </c>
      <c r="BP38" s="156">
        <f t="shared" si="19"/>
        <v>40</v>
      </c>
      <c r="BQ38" s="280">
        <f t="shared" si="20"/>
        <v>5.4490193076615192</v>
      </c>
      <c r="BR38" s="156">
        <f t="shared" si="21"/>
        <v>12</v>
      </c>
      <c r="BS38" s="228">
        <f t="shared" si="41"/>
        <v>0</v>
      </c>
      <c r="BT38" s="156" cm="1">
        <f t="array" ref="BT38">IF($W38&lt;=$O$16,_xlfn.IFS(W38&lt;$F$16,$P$92,W38=$F$16,$P$93,W38&gt;$F$16,$P$94),0)</f>
        <v>33.78</v>
      </c>
      <c r="BU38" s="157">
        <f t="shared" si="42"/>
        <v>85.78</v>
      </c>
      <c r="BV38" s="157">
        <f t="shared" si="22"/>
        <v>105.61952400827226</v>
      </c>
      <c r="BW38" s="153"/>
      <c r="BX38" s="169">
        <f t="shared" si="23"/>
        <v>91.013805816102646</v>
      </c>
      <c r="BY38" s="286">
        <f t="shared" si="43"/>
        <v>0</v>
      </c>
      <c r="CA38"/>
    </row>
    <row r="39" spans="2:79" ht="15.75" customHeight="1">
      <c r="V39" s="58">
        <f t="shared" si="24"/>
        <v>53782</v>
      </c>
      <c r="W39" s="7">
        <v>23</v>
      </c>
      <c r="X39" s="282" t="str">
        <f t="shared" si="25"/>
        <v>維持管理・運営期間</v>
      </c>
      <c r="Y39" s="161">
        <f t="shared" si="0"/>
        <v>0</v>
      </c>
      <c r="Z39" s="159">
        <f t="shared" si="1"/>
        <v>0</v>
      </c>
      <c r="AA39" s="159">
        <f t="shared" si="2"/>
        <v>0</v>
      </c>
      <c r="AB39" s="159">
        <f t="shared" si="3"/>
        <v>0</v>
      </c>
      <c r="AC39" s="160">
        <f t="shared" si="26"/>
        <v>0</v>
      </c>
      <c r="AD39" s="161">
        <f t="shared" si="4"/>
        <v>0</v>
      </c>
      <c r="AE39" s="159">
        <f t="shared" si="5"/>
        <v>50</v>
      </c>
      <c r="AF39" s="159">
        <f t="shared" si="27"/>
        <v>10</v>
      </c>
      <c r="AG39" s="277">
        <f>IF(AND(SUM($AA$16:AA38)&gt;0,SUM($AG$16:AG38)&lt;$O$62,$W39&gt;=$O$65),$O$64,0)</f>
        <v>64.125</v>
      </c>
      <c r="AH39" s="228">
        <f>IF(SUM($AA$17:$AA38)&gt;0,($O$62-SUM($AG$17:$AG38))*$E$65,0)</f>
        <v>3.8474999999999997</v>
      </c>
      <c r="AI39" s="160">
        <f t="shared" si="28"/>
        <v>60</v>
      </c>
      <c r="AJ39" s="156">
        <f t="shared" si="6"/>
        <v>-60</v>
      </c>
      <c r="AK39" s="158">
        <f>(SUM($P$31,$P$51)-SUM($AU$17:AU38))*$O$109</f>
        <v>1.4732882136796062</v>
      </c>
      <c r="AL39" s="163"/>
      <c r="AM39" s="157">
        <f t="shared" si="7"/>
        <v>-27.50108734042043</v>
      </c>
      <c r="AN39" s="164"/>
      <c r="AO39" s="155">
        <f t="shared" si="8"/>
        <v>0</v>
      </c>
      <c r="AP39" s="156">
        <f t="shared" si="9"/>
        <v>0</v>
      </c>
      <c r="AQ39" s="156">
        <f t="shared" si="10"/>
        <v>0</v>
      </c>
      <c r="AR39" s="159">
        <f t="shared" si="11"/>
        <v>0</v>
      </c>
      <c r="AS39" s="160">
        <f t="shared" si="29"/>
        <v>0</v>
      </c>
      <c r="AT39" s="159">
        <f t="shared" si="12"/>
        <v>0</v>
      </c>
      <c r="AU39" s="159">
        <f t="shared" si="13"/>
        <v>101.6060837020416</v>
      </c>
      <c r="AV39" s="159">
        <f t="shared" si="14"/>
        <v>4.0134403062306436</v>
      </c>
      <c r="AW39" s="159">
        <f t="shared" si="30"/>
        <v>40</v>
      </c>
      <c r="AX39" s="278">
        <f t="shared" si="31"/>
        <v>6</v>
      </c>
      <c r="AY39" s="279">
        <f t="shared" si="15"/>
        <v>45.78</v>
      </c>
      <c r="AZ39" s="278">
        <f>IF(AND(SUM($AQ$16:AQ38)&gt;0,SUM($AZ$16:AZ38)&lt;$P$62,$W39&gt;=$P$65),$P$64,0)</f>
        <v>9</v>
      </c>
      <c r="BA39" s="159">
        <f>IF(SUM($AQ$17:$AQ38)&gt;0,($P$62-SUM($AZ$17:$AZ38))*$F$65,0)</f>
        <v>0.54</v>
      </c>
      <c r="BB39" s="160">
        <f t="shared" si="32"/>
        <v>197.39952400827227</v>
      </c>
      <c r="BC39" s="156">
        <f t="shared" si="33"/>
        <v>-197.39952400827227</v>
      </c>
      <c r="BD39" s="157">
        <f t="shared" si="16"/>
        <v>-90.478359178481909</v>
      </c>
      <c r="BE39" s="48"/>
      <c r="BF39" s="46">
        <f t="shared" si="34"/>
        <v>0.4583514556736738</v>
      </c>
      <c r="BH39" s="155">
        <f t="shared" si="35"/>
        <v>0</v>
      </c>
      <c r="BI39" s="155">
        <f t="shared" si="36"/>
        <v>101.6060837020416</v>
      </c>
      <c r="BJ39" s="156">
        <f t="shared" si="37"/>
        <v>4.0134403062306436</v>
      </c>
      <c r="BK39" s="156">
        <f t="shared" si="38"/>
        <v>40</v>
      </c>
      <c r="BL39" s="156">
        <f t="shared" si="39"/>
        <v>45.78</v>
      </c>
      <c r="BM39" s="156">
        <f t="shared" si="17"/>
        <v>0</v>
      </c>
      <c r="BN39" s="157">
        <f t="shared" si="40"/>
        <v>191.39952400827227</v>
      </c>
      <c r="BO39" s="156">
        <f t="shared" si="18"/>
        <v>0</v>
      </c>
      <c r="BP39" s="156">
        <f t="shared" si="19"/>
        <v>40</v>
      </c>
      <c r="BQ39" s="280">
        <f t="shared" si="20"/>
        <v>2.7641120360864915</v>
      </c>
      <c r="BR39" s="156">
        <f t="shared" si="21"/>
        <v>12</v>
      </c>
      <c r="BS39" s="228">
        <f t="shared" si="41"/>
        <v>0</v>
      </c>
      <c r="BT39" s="156" cm="1">
        <f t="array" ref="BT39">IF($W39&lt;=$O$16,_xlfn.IFS(W39&lt;$F$16,$P$92,W39=$F$16,$P$93,W39&gt;$F$16,$P$94),0)</f>
        <v>33.78</v>
      </c>
      <c r="BU39" s="157">
        <f t="shared" si="42"/>
        <v>85.78</v>
      </c>
      <c r="BV39" s="157">
        <f t="shared" si="22"/>
        <v>105.61952400827226</v>
      </c>
      <c r="BW39" s="153"/>
      <c r="BX39" s="169">
        <f t="shared" si="23"/>
        <v>93.698713087677675</v>
      </c>
      <c r="BY39" s="286">
        <f t="shared" si="43"/>
        <v>0</v>
      </c>
      <c r="CA39"/>
    </row>
    <row r="40" spans="2:79" ht="15.75" customHeight="1">
      <c r="B40" t="s">
        <v>183</v>
      </c>
      <c r="D40" t="s">
        <v>8</v>
      </c>
      <c r="F40" s="289">
        <f>SUM(F41:F42)</f>
        <v>50</v>
      </c>
      <c r="J40" s="4" t="s">
        <v>192</v>
      </c>
      <c r="V40" s="58">
        <f t="shared" si="24"/>
        <v>54148</v>
      </c>
      <c r="W40" s="26">
        <v>24</v>
      </c>
      <c r="X40" s="282" t="str">
        <f t="shared" si="25"/>
        <v>-</v>
      </c>
      <c r="Y40" s="161">
        <f t="shared" si="0"/>
        <v>0</v>
      </c>
      <c r="Z40" s="159">
        <f t="shared" si="1"/>
        <v>0</v>
      </c>
      <c r="AA40" s="159">
        <f t="shared" si="2"/>
        <v>0</v>
      </c>
      <c r="AB40" s="159">
        <f t="shared" si="3"/>
        <v>0</v>
      </c>
      <c r="AC40" s="160">
        <f t="shared" si="26"/>
        <v>0</v>
      </c>
      <c r="AD40" s="161">
        <f t="shared" si="4"/>
        <v>0</v>
      </c>
      <c r="AE40" s="159">
        <f t="shared" si="5"/>
        <v>0</v>
      </c>
      <c r="AF40" s="159">
        <f t="shared" si="27"/>
        <v>0</v>
      </c>
      <c r="AG40" s="277">
        <f>IF(AND(SUM($AA$16:AA39)&gt;0,SUM($AG$16:AG39)&lt;$O$62,$W40&gt;=$O$65),$O$64,0)</f>
        <v>64.125</v>
      </c>
      <c r="AH40" s="228">
        <f>IF(SUM($AA$17:$AA39)&gt;0,($O$62-SUM($AG$17:$AG39))*$E$65,0)</f>
        <v>2.8856250000000001</v>
      </c>
      <c r="AI40" s="160">
        <f t="shared" si="28"/>
        <v>0</v>
      </c>
      <c r="AJ40" s="156">
        <f t="shared" si="6"/>
        <v>0</v>
      </c>
      <c r="AK40" s="158">
        <f>(SUM($P$31,$P$51)-SUM($AU$17:AU39))*$O$109</f>
        <v>3.2969182939268646E-15</v>
      </c>
      <c r="AL40" s="163"/>
      <c r="AM40" s="157">
        <f t="shared" si="7"/>
        <v>0</v>
      </c>
      <c r="AN40" s="164"/>
      <c r="AO40" s="155">
        <f t="shared" si="8"/>
        <v>0</v>
      </c>
      <c r="AP40" s="156">
        <f t="shared" si="9"/>
        <v>0</v>
      </c>
      <c r="AQ40" s="156">
        <f t="shared" si="10"/>
        <v>0</v>
      </c>
      <c r="AR40" s="159">
        <f t="shared" si="11"/>
        <v>0</v>
      </c>
      <c r="AS40" s="160">
        <f t="shared" si="29"/>
        <v>0</v>
      </c>
      <c r="AT40" s="159">
        <f t="shared" si="12"/>
        <v>0</v>
      </c>
      <c r="AU40" s="159">
        <f t="shared" si="13"/>
        <v>0</v>
      </c>
      <c r="AV40" s="159">
        <f t="shared" si="14"/>
        <v>0</v>
      </c>
      <c r="AW40" s="159">
        <f t="shared" si="30"/>
        <v>0</v>
      </c>
      <c r="AX40" s="278">
        <f t="shared" si="31"/>
        <v>0</v>
      </c>
      <c r="AY40" s="279">
        <f t="shared" si="15"/>
        <v>0</v>
      </c>
      <c r="AZ40" s="278">
        <f>IF(AND(SUM($AQ$16:AQ39)&gt;0,SUM($AZ$16:AZ39)&lt;$P$62,$W40&gt;=$P$65),$P$64,0)</f>
        <v>9</v>
      </c>
      <c r="BA40" s="159">
        <f>IF(SUM($AQ$17:$AQ39)&gt;0,($P$62-SUM($AZ$17:$AZ39))*$F$65,0)</f>
        <v>0.40499999999999997</v>
      </c>
      <c r="BB40" s="160">
        <f t="shared" si="32"/>
        <v>0</v>
      </c>
      <c r="BC40" s="156">
        <f t="shared" si="33"/>
        <v>0</v>
      </c>
      <c r="BD40" s="157">
        <f t="shared" si="16"/>
        <v>0</v>
      </c>
      <c r="BE40" s="48"/>
      <c r="BF40" s="46">
        <f t="shared" si="34"/>
        <v>0.44306568938972818</v>
      </c>
      <c r="BH40" s="155">
        <f t="shared" si="35"/>
        <v>0</v>
      </c>
      <c r="BI40" s="155">
        <f t="shared" si="36"/>
        <v>0</v>
      </c>
      <c r="BJ40" s="156">
        <f t="shared" si="37"/>
        <v>0</v>
      </c>
      <c r="BK40" s="156">
        <f t="shared" si="38"/>
        <v>0</v>
      </c>
      <c r="BL40" s="156">
        <f t="shared" si="39"/>
        <v>0</v>
      </c>
      <c r="BM40" s="156">
        <f t="shared" si="17"/>
        <v>0</v>
      </c>
      <c r="BN40" s="157">
        <f t="shared" si="40"/>
        <v>0</v>
      </c>
      <c r="BO40" s="156">
        <f t="shared" si="18"/>
        <v>0</v>
      </c>
      <c r="BP40" s="156">
        <f t="shared" si="19"/>
        <v>0</v>
      </c>
      <c r="BQ40" s="280">
        <f t="shared" si="20"/>
        <v>0</v>
      </c>
      <c r="BR40" s="156">
        <f t="shared" si="21"/>
        <v>0</v>
      </c>
      <c r="BS40" s="228">
        <f t="shared" si="41"/>
        <v>0</v>
      </c>
      <c r="BT40" s="156" cm="1">
        <f t="array" ref="BT40">IF($W40&lt;=$O$16,_xlfn.IFS(W40&lt;$F$16,$P$92,W40=$F$16,$P$93,W40&gt;$F$16,$P$94),0)</f>
        <v>0</v>
      </c>
      <c r="BU40" s="157">
        <f t="shared" si="42"/>
        <v>0</v>
      </c>
      <c r="BV40" s="157">
        <f t="shared" si="22"/>
        <v>0</v>
      </c>
      <c r="BW40" s="153"/>
      <c r="BX40" s="169">
        <f t="shared" si="23"/>
        <v>0</v>
      </c>
      <c r="BY40" s="286">
        <f t="shared" si="43"/>
        <v>0</v>
      </c>
      <c r="CA40"/>
    </row>
    <row r="41" spans="2:79" ht="15.75" customHeight="1">
      <c r="C41" s="2" t="s">
        <v>72</v>
      </c>
      <c r="D41" t="s">
        <v>8</v>
      </c>
      <c r="F41" s="290">
        <f>事業費用概算!G27</f>
        <v>0</v>
      </c>
      <c r="K41" t="s">
        <v>190</v>
      </c>
      <c r="N41" s="19" t="s">
        <v>8</v>
      </c>
      <c r="O41" s="21">
        <f>F40</f>
        <v>50</v>
      </c>
      <c r="P41" s="69">
        <f>F40*(1-F52)</f>
        <v>40</v>
      </c>
      <c r="Q41" t="s">
        <v>59</v>
      </c>
      <c r="V41" s="58">
        <f t="shared" si="24"/>
        <v>54513</v>
      </c>
      <c r="W41" s="26">
        <v>25</v>
      </c>
      <c r="X41" s="282" t="str">
        <f t="shared" si="25"/>
        <v>-</v>
      </c>
      <c r="Y41" s="161">
        <f t="shared" si="0"/>
        <v>0</v>
      </c>
      <c r="Z41" s="159">
        <f t="shared" si="1"/>
        <v>0</v>
      </c>
      <c r="AA41" s="159">
        <f t="shared" si="2"/>
        <v>0</v>
      </c>
      <c r="AB41" s="159">
        <f t="shared" si="3"/>
        <v>0</v>
      </c>
      <c r="AC41" s="160">
        <f t="shared" si="26"/>
        <v>0</v>
      </c>
      <c r="AD41" s="161">
        <f t="shared" si="4"/>
        <v>0</v>
      </c>
      <c r="AE41" s="159">
        <f t="shared" si="5"/>
        <v>0</v>
      </c>
      <c r="AF41" s="159">
        <f t="shared" si="27"/>
        <v>0</v>
      </c>
      <c r="AG41" s="277">
        <f>IF(AND(SUM($AA$16:AA40)&gt;0,SUM($AG$16:AG40)&lt;$O$62,$W41&gt;=$O$65),$O$64,0)</f>
        <v>64.125</v>
      </c>
      <c r="AH41" s="228">
        <f>IF(SUM($AA$17:$AA40)&gt;0,($O$62-SUM($AG$17:$AG40))*$E$65,0)</f>
        <v>1.9237499999999998</v>
      </c>
      <c r="AI41" s="160">
        <f t="shared" si="28"/>
        <v>0</v>
      </c>
      <c r="AJ41" s="156">
        <f t="shared" si="6"/>
        <v>0</v>
      </c>
      <c r="AK41" s="158">
        <f>(SUM($P$31,$P$51)-SUM($AU$17:AU40))*$O$109</f>
        <v>3.2969182939268646E-15</v>
      </c>
      <c r="AL41" s="163"/>
      <c r="AM41" s="157">
        <f t="shared" si="7"/>
        <v>0</v>
      </c>
      <c r="AN41" s="164"/>
      <c r="AO41" s="155">
        <f t="shared" si="8"/>
        <v>0</v>
      </c>
      <c r="AP41" s="156">
        <f t="shared" si="9"/>
        <v>0</v>
      </c>
      <c r="AQ41" s="156">
        <f t="shared" si="10"/>
        <v>0</v>
      </c>
      <c r="AR41" s="159">
        <f t="shared" si="11"/>
        <v>0</v>
      </c>
      <c r="AS41" s="160">
        <f t="shared" si="29"/>
        <v>0</v>
      </c>
      <c r="AT41" s="159">
        <f t="shared" si="12"/>
        <v>0</v>
      </c>
      <c r="AU41" s="159">
        <f t="shared" si="13"/>
        <v>0</v>
      </c>
      <c r="AV41" s="159">
        <f t="shared" si="14"/>
        <v>0</v>
      </c>
      <c r="AW41" s="159">
        <f t="shared" si="30"/>
        <v>0</v>
      </c>
      <c r="AX41" s="278">
        <f t="shared" si="31"/>
        <v>0</v>
      </c>
      <c r="AY41" s="279">
        <f t="shared" si="15"/>
        <v>0</v>
      </c>
      <c r="AZ41" s="278">
        <f>IF(AND(SUM($AQ$16:AQ40)&gt;0,SUM($AZ$16:AZ40)&lt;$P$62,$W41&gt;=$P$65),$P$64,0)</f>
        <v>9</v>
      </c>
      <c r="BA41" s="159">
        <f>IF(SUM($AQ$17:$AQ40)&gt;0,($P$62-SUM($AZ$17:$AZ40))*$F$65,0)</f>
        <v>0.27</v>
      </c>
      <c r="BB41" s="160">
        <f t="shared" si="32"/>
        <v>0</v>
      </c>
      <c r="BC41" s="156">
        <f t="shared" si="33"/>
        <v>0</v>
      </c>
      <c r="BD41" s="157">
        <f t="shared" si="16"/>
        <v>0</v>
      </c>
      <c r="BE41" s="49"/>
      <c r="BF41" s="46">
        <f t="shared" si="34"/>
        <v>0.42828969491515534</v>
      </c>
      <c r="BH41" s="155">
        <f t="shared" si="35"/>
        <v>0</v>
      </c>
      <c r="BI41" s="155">
        <f t="shared" si="36"/>
        <v>0</v>
      </c>
      <c r="BJ41" s="156">
        <f t="shared" si="37"/>
        <v>0</v>
      </c>
      <c r="BK41" s="156">
        <f t="shared" si="38"/>
        <v>0</v>
      </c>
      <c r="BL41" s="156">
        <f t="shared" si="39"/>
        <v>0</v>
      </c>
      <c r="BM41" s="156">
        <f t="shared" si="17"/>
        <v>0</v>
      </c>
      <c r="BN41" s="157">
        <f t="shared" si="40"/>
        <v>0</v>
      </c>
      <c r="BO41" s="156">
        <f t="shared" si="18"/>
        <v>0</v>
      </c>
      <c r="BP41" s="156">
        <f t="shared" si="19"/>
        <v>0</v>
      </c>
      <c r="BQ41" s="280">
        <f t="shared" si="20"/>
        <v>0</v>
      </c>
      <c r="BR41" s="156">
        <f t="shared" si="21"/>
        <v>0</v>
      </c>
      <c r="BS41" s="228">
        <f t="shared" si="41"/>
        <v>0</v>
      </c>
      <c r="BT41" s="156" cm="1">
        <f t="array" ref="BT41">IF($W41&lt;=$O$16,_xlfn.IFS(W41&lt;$F$16,$P$92,W41=$F$16,$P$93,W41&gt;$F$16,$P$94),0)</f>
        <v>0</v>
      </c>
      <c r="BU41" s="157">
        <f t="shared" si="42"/>
        <v>0</v>
      </c>
      <c r="BV41" s="157">
        <f t="shared" si="22"/>
        <v>0</v>
      </c>
      <c r="BW41" s="153"/>
      <c r="BX41" s="169">
        <f t="shared" si="23"/>
        <v>0</v>
      </c>
      <c r="BY41" s="286">
        <f t="shared" si="43"/>
        <v>0</v>
      </c>
      <c r="CA41"/>
    </row>
    <row r="42" spans="2:79" ht="15.75" customHeight="1">
      <c r="C42" s="2" t="s">
        <v>71</v>
      </c>
      <c r="D42" t="s">
        <v>8</v>
      </c>
      <c r="F42" s="290">
        <f>事業費用概算!G28</f>
        <v>50</v>
      </c>
      <c r="K42" t="s">
        <v>21</v>
      </c>
      <c r="N42" s="19" t="s">
        <v>8</v>
      </c>
      <c r="O42" s="53"/>
      <c r="P42" s="69">
        <f>F56</f>
        <v>0</v>
      </c>
      <c r="Q42" t="s">
        <v>214</v>
      </c>
      <c r="V42" s="58">
        <f t="shared" si="24"/>
        <v>54878</v>
      </c>
      <c r="W42" s="26">
        <v>26</v>
      </c>
      <c r="X42" s="282" t="str">
        <f t="shared" si="25"/>
        <v>-</v>
      </c>
      <c r="Y42" s="161">
        <f t="shared" si="0"/>
        <v>0</v>
      </c>
      <c r="Z42" s="159">
        <f t="shared" si="1"/>
        <v>0</v>
      </c>
      <c r="AA42" s="159">
        <f t="shared" si="2"/>
        <v>0</v>
      </c>
      <c r="AB42" s="159">
        <f t="shared" si="3"/>
        <v>0</v>
      </c>
      <c r="AC42" s="160">
        <f t="shared" si="26"/>
        <v>0</v>
      </c>
      <c r="AD42" s="161">
        <f t="shared" si="4"/>
        <v>0</v>
      </c>
      <c r="AE42" s="159">
        <f t="shared" si="5"/>
        <v>0</v>
      </c>
      <c r="AF42" s="159">
        <f t="shared" si="27"/>
        <v>0</v>
      </c>
      <c r="AG42" s="277">
        <f>IF(AND(SUM($AA$16:AA41)&gt;0,SUM($AG$16:AG41)&lt;$O$62,$W42&gt;=$O$65),$O$64,0)</f>
        <v>64.125</v>
      </c>
      <c r="AH42" s="228">
        <f>IF(SUM($AA$17:$AA41)&gt;0,($O$62-SUM($AG$17:$AG41))*$E$65,0)</f>
        <v>0.96187499999999992</v>
      </c>
      <c r="AI42" s="160">
        <f t="shared" si="28"/>
        <v>0</v>
      </c>
      <c r="AJ42" s="156">
        <f t="shared" si="6"/>
        <v>0</v>
      </c>
      <c r="AK42" s="158">
        <f>(SUM($P$31,$P$51)-SUM($AU$17:AU41))*$O$109</f>
        <v>3.2969182939268646E-15</v>
      </c>
      <c r="AL42" s="163"/>
      <c r="AM42" s="157">
        <f t="shared" si="7"/>
        <v>0</v>
      </c>
      <c r="AN42" s="164"/>
      <c r="AO42" s="155">
        <f t="shared" si="8"/>
        <v>0</v>
      </c>
      <c r="AP42" s="156">
        <f t="shared" si="9"/>
        <v>0</v>
      </c>
      <c r="AQ42" s="156">
        <f t="shared" si="10"/>
        <v>0</v>
      </c>
      <c r="AR42" s="159">
        <f t="shared" si="11"/>
        <v>0</v>
      </c>
      <c r="AS42" s="160">
        <f t="shared" si="29"/>
        <v>0</v>
      </c>
      <c r="AT42" s="159">
        <f t="shared" si="12"/>
        <v>0</v>
      </c>
      <c r="AU42" s="159">
        <f t="shared" si="13"/>
        <v>0</v>
      </c>
      <c r="AV42" s="159">
        <f t="shared" si="14"/>
        <v>0</v>
      </c>
      <c r="AW42" s="159">
        <f t="shared" si="30"/>
        <v>0</v>
      </c>
      <c r="AX42" s="278">
        <f t="shared" si="31"/>
        <v>0</v>
      </c>
      <c r="AY42" s="279">
        <f t="shared" si="15"/>
        <v>0</v>
      </c>
      <c r="AZ42" s="278">
        <f>IF(AND(SUM($AQ$16:AQ41)&gt;0,SUM($AZ$16:AZ41)&lt;$P$62,$W42&gt;=$P$65),$P$64,0)</f>
        <v>9</v>
      </c>
      <c r="BA42" s="159">
        <f>IF(SUM($AQ$17:$AQ41)&gt;0,($P$62-SUM($AZ$17:$AZ41))*$F$65,0)</f>
        <v>0.13500000000000001</v>
      </c>
      <c r="BB42" s="160">
        <f t="shared" si="32"/>
        <v>0</v>
      </c>
      <c r="BC42" s="156">
        <f t="shared" si="33"/>
        <v>0</v>
      </c>
      <c r="BD42" s="157">
        <f t="shared" si="16"/>
        <v>0</v>
      </c>
      <c r="BE42" s="49"/>
      <c r="BF42" s="46">
        <f t="shared" si="34"/>
        <v>0.41400647164345611</v>
      </c>
      <c r="BH42" s="155">
        <f t="shared" si="35"/>
        <v>0</v>
      </c>
      <c r="BI42" s="155">
        <f t="shared" si="36"/>
        <v>0</v>
      </c>
      <c r="BJ42" s="156">
        <f t="shared" si="37"/>
        <v>0</v>
      </c>
      <c r="BK42" s="156">
        <f t="shared" si="38"/>
        <v>0</v>
      </c>
      <c r="BL42" s="156">
        <f t="shared" si="39"/>
        <v>0</v>
      </c>
      <c r="BM42" s="156">
        <f t="shared" si="17"/>
        <v>0</v>
      </c>
      <c r="BN42" s="157">
        <f t="shared" si="40"/>
        <v>0</v>
      </c>
      <c r="BO42" s="156">
        <f t="shared" si="18"/>
        <v>0</v>
      </c>
      <c r="BP42" s="156">
        <f t="shared" si="19"/>
        <v>0</v>
      </c>
      <c r="BQ42" s="280">
        <f t="shared" si="20"/>
        <v>0</v>
      </c>
      <c r="BR42" s="156">
        <f t="shared" si="21"/>
        <v>0</v>
      </c>
      <c r="BS42" s="228">
        <f t="shared" si="41"/>
        <v>0</v>
      </c>
      <c r="BT42" s="156" cm="1">
        <f t="array" ref="BT42">IF($W42&lt;=$O$16,_xlfn.IFS(W42&lt;$F$16,$P$92,W42=$F$16,$P$93,W42&gt;$F$16,$P$94),0)</f>
        <v>0</v>
      </c>
      <c r="BU42" s="157">
        <f t="shared" si="42"/>
        <v>0</v>
      </c>
      <c r="BV42" s="157">
        <f t="shared" si="22"/>
        <v>0</v>
      </c>
      <c r="BW42" s="153"/>
      <c r="BX42" s="169">
        <f t="shared" si="23"/>
        <v>0</v>
      </c>
      <c r="BY42" s="286">
        <f t="shared" si="43"/>
        <v>0</v>
      </c>
      <c r="CA42"/>
    </row>
    <row r="43" spans="2:79" ht="15.75" customHeight="1">
      <c r="B43" t="s">
        <v>255</v>
      </c>
      <c r="E43" s="19" t="s">
        <v>0</v>
      </c>
      <c r="F43" s="19" t="s">
        <v>1</v>
      </c>
      <c r="K43" t="s">
        <v>215</v>
      </c>
      <c r="N43" s="19" t="s">
        <v>8</v>
      </c>
      <c r="O43" s="69">
        <f>O41-O42</f>
        <v>50</v>
      </c>
      <c r="P43" s="69">
        <f>P41-P42</f>
        <v>40</v>
      </c>
      <c r="V43" s="58">
        <f t="shared" si="24"/>
        <v>55243</v>
      </c>
      <c r="W43" s="26">
        <v>27</v>
      </c>
      <c r="X43" s="282" t="str">
        <f t="shared" si="25"/>
        <v>-</v>
      </c>
      <c r="Y43" s="161">
        <f t="shared" si="0"/>
        <v>0</v>
      </c>
      <c r="Z43" s="159">
        <f t="shared" si="1"/>
        <v>0</v>
      </c>
      <c r="AA43" s="159">
        <f t="shared" si="2"/>
        <v>0</v>
      </c>
      <c r="AB43" s="159">
        <f t="shared" si="3"/>
        <v>0</v>
      </c>
      <c r="AC43" s="160">
        <f t="shared" si="26"/>
        <v>0</v>
      </c>
      <c r="AD43" s="161">
        <f t="shared" si="4"/>
        <v>0</v>
      </c>
      <c r="AE43" s="159">
        <f t="shared" si="5"/>
        <v>0</v>
      </c>
      <c r="AF43" s="159">
        <f t="shared" si="27"/>
        <v>0</v>
      </c>
      <c r="AG43" s="277">
        <f>IF(AND(SUM($AA$16:AA42)&gt;0,SUM($AG$16:AG42)&lt;$O$62,$W43&gt;=$O$65),$O$64,0)</f>
        <v>0</v>
      </c>
      <c r="AH43" s="228">
        <f>IF(SUM($AA$17:$AA42)&gt;0,($O$62-SUM($AG$17:$AG42))*$E$65,0)</f>
        <v>0</v>
      </c>
      <c r="AI43" s="160">
        <f t="shared" si="28"/>
        <v>0</v>
      </c>
      <c r="AJ43" s="156">
        <f t="shared" si="6"/>
        <v>0</v>
      </c>
      <c r="AK43" s="158">
        <f>(SUM($P$31,$P$51)-SUM($AU$17:AU42))*$O$109</f>
        <v>3.2969182939268646E-15</v>
      </c>
      <c r="AL43" s="163"/>
      <c r="AM43" s="157">
        <f t="shared" si="7"/>
        <v>0</v>
      </c>
      <c r="AN43" s="164"/>
      <c r="AO43" s="155">
        <f t="shared" si="8"/>
        <v>0</v>
      </c>
      <c r="AP43" s="156">
        <f t="shared" si="9"/>
        <v>0</v>
      </c>
      <c r="AQ43" s="156">
        <f t="shared" si="10"/>
        <v>0</v>
      </c>
      <c r="AR43" s="159">
        <f t="shared" si="11"/>
        <v>0</v>
      </c>
      <c r="AS43" s="160">
        <f t="shared" si="29"/>
        <v>0</v>
      </c>
      <c r="AT43" s="159">
        <f t="shared" si="12"/>
        <v>0</v>
      </c>
      <c r="AU43" s="159">
        <f t="shared" si="13"/>
        <v>0</v>
      </c>
      <c r="AV43" s="159">
        <f t="shared" si="14"/>
        <v>0</v>
      </c>
      <c r="AW43" s="159">
        <f t="shared" si="30"/>
        <v>0</v>
      </c>
      <c r="AX43" s="278">
        <f t="shared" si="31"/>
        <v>0</v>
      </c>
      <c r="AY43" s="279">
        <f t="shared" si="15"/>
        <v>0</v>
      </c>
      <c r="AZ43" s="278">
        <f>IF(AND(SUM($AQ$16:AQ42)&gt;0,SUM($AZ$16:AZ42)&lt;$P$62,$W43&gt;=$P$65),$P$64,0)</f>
        <v>0</v>
      </c>
      <c r="BA43" s="159">
        <f>IF(SUM($AQ$17:$AQ42)&gt;0,($P$62-SUM($AZ$17:$AZ42))*$F$65,0)</f>
        <v>0</v>
      </c>
      <c r="BB43" s="160">
        <f t="shared" si="32"/>
        <v>0</v>
      </c>
      <c r="BC43" s="156">
        <f t="shared" si="33"/>
        <v>0</v>
      </c>
      <c r="BD43" s="157">
        <f t="shared" si="16"/>
        <v>0</v>
      </c>
      <c r="BE43" s="49"/>
      <c r="BF43" s="46">
        <f t="shared" si="34"/>
        <v>0.40019958592890875</v>
      </c>
      <c r="BH43" s="155">
        <f t="shared" si="35"/>
        <v>0</v>
      </c>
      <c r="BI43" s="155">
        <f t="shared" si="36"/>
        <v>0</v>
      </c>
      <c r="BJ43" s="156">
        <f t="shared" si="37"/>
        <v>0</v>
      </c>
      <c r="BK43" s="156">
        <f t="shared" si="38"/>
        <v>0</v>
      </c>
      <c r="BL43" s="156">
        <f t="shared" si="39"/>
        <v>0</v>
      </c>
      <c r="BM43" s="156">
        <f t="shared" si="17"/>
        <v>0</v>
      </c>
      <c r="BN43" s="157">
        <f t="shared" si="40"/>
        <v>0</v>
      </c>
      <c r="BO43" s="156">
        <f t="shared" si="18"/>
        <v>0</v>
      </c>
      <c r="BP43" s="156">
        <f t="shared" si="19"/>
        <v>0</v>
      </c>
      <c r="BQ43" s="280">
        <f t="shared" si="20"/>
        <v>0</v>
      </c>
      <c r="BR43" s="156">
        <f t="shared" si="21"/>
        <v>0</v>
      </c>
      <c r="BS43" s="228">
        <f t="shared" si="41"/>
        <v>0</v>
      </c>
      <c r="BT43" s="156" cm="1">
        <f t="array" ref="BT43">IF($W43&lt;=$O$16,_xlfn.IFS(W43&lt;$F$16,$P$92,W43=$F$16,$P$93,W43&gt;$F$16,$P$94),0)</f>
        <v>0</v>
      </c>
      <c r="BU43" s="157">
        <f t="shared" si="42"/>
        <v>0</v>
      </c>
      <c r="BV43" s="157">
        <f t="shared" si="22"/>
        <v>0</v>
      </c>
      <c r="BW43" s="153"/>
      <c r="BX43" s="169">
        <f t="shared" si="23"/>
        <v>0</v>
      </c>
      <c r="BY43" s="286">
        <f t="shared" si="43"/>
        <v>0</v>
      </c>
      <c r="CA43"/>
    </row>
    <row r="44" spans="2:79" ht="15.75" customHeight="1">
      <c r="C44" s="275" t="s">
        <v>253</v>
      </c>
      <c r="D44" t="s">
        <v>8</v>
      </c>
      <c r="E44" s="276"/>
      <c r="F44" s="192">
        <v>25</v>
      </c>
      <c r="K44" t="s">
        <v>191</v>
      </c>
      <c r="N44" s="19" t="s">
        <v>8</v>
      </c>
      <c r="O44" s="21">
        <f>O41*$F$17</f>
        <v>1000</v>
      </c>
      <c r="P44" s="21">
        <f>P43*$F$17</f>
        <v>800</v>
      </c>
      <c r="V44" s="58">
        <f t="shared" si="24"/>
        <v>55609</v>
      </c>
      <c r="W44" s="26">
        <v>28</v>
      </c>
      <c r="X44" s="282" t="str">
        <f t="shared" si="25"/>
        <v>-</v>
      </c>
      <c r="Y44" s="161">
        <f t="shared" si="0"/>
        <v>0</v>
      </c>
      <c r="Z44" s="159">
        <f t="shared" si="1"/>
        <v>0</v>
      </c>
      <c r="AA44" s="159">
        <f t="shared" si="2"/>
        <v>0</v>
      </c>
      <c r="AB44" s="159">
        <f t="shared" si="3"/>
        <v>0</v>
      </c>
      <c r="AC44" s="160">
        <f t="shared" si="26"/>
        <v>0</v>
      </c>
      <c r="AD44" s="161">
        <f t="shared" si="4"/>
        <v>0</v>
      </c>
      <c r="AE44" s="159">
        <f t="shared" si="5"/>
        <v>0</v>
      </c>
      <c r="AF44" s="159">
        <f t="shared" si="27"/>
        <v>0</v>
      </c>
      <c r="AG44" s="277">
        <f>IF(AND(SUM($AA$16:AA43)&gt;0,SUM($AG$16:AG43)&lt;$O$62,$W44&gt;=$O$65),$O$64,0)</f>
        <v>0</v>
      </c>
      <c r="AH44" s="228">
        <f>IF(SUM($AA$17:$AA43)&gt;0,($O$62-SUM($AG$17:$AG43))*$E$65,0)</f>
        <v>0</v>
      </c>
      <c r="AI44" s="160">
        <f t="shared" si="28"/>
        <v>0</v>
      </c>
      <c r="AJ44" s="156">
        <f t="shared" si="6"/>
        <v>0</v>
      </c>
      <c r="AK44" s="158">
        <f>(SUM($P$31,$P$51)-SUM($AU$17:AU43))*$O$109</f>
        <v>3.2969182939268646E-15</v>
      </c>
      <c r="AL44" s="163"/>
      <c r="AM44" s="157">
        <f t="shared" si="7"/>
        <v>0</v>
      </c>
      <c r="AN44" s="164"/>
      <c r="AO44" s="155">
        <f t="shared" si="8"/>
        <v>0</v>
      </c>
      <c r="AP44" s="156">
        <f t="shared" si="9"/>
        <v>0</v>
      </c>
      <c r="AQ44" s="156">
        <f t="shared" si="10"/>
        <v>0</v>
      </c>
      <c r="AR44" s="159">
        <f t="shared" si="11"/>
        <v>0</v>
      </c>
      <c r="AS44" s="160">
        <f t="shared" si="29"/>
        <v>0</v>
      </c>
      <c r="AT44" s="159">
        <f t="shared" si="12"/>
        <v>0</v>
      </c>
      <c r="AU44" s="159">
        <f t="shared" si="13"/>
        <v>0</v>
      </c>
      <c r="AV44" s="159">
        <f t="shared" si="14"/>
        <v>0</v>
      </c>
      <c r="AW44" s="159">
        <f t="shared" si="30"/>
        <v>0</v>
      </c>
      <c r="AX44" s="278">
        <f t="shared" si="31"/>
        <v>0</v>
      </c>
      <c r="AY44" s="279">
        <f t="shared" si="15"/>
        <v>0</v>
      </c>
      <c r="AZ44" s="278">
        <f>IF(AND(SUM($AQ$16:AQ43)&gt;0,SUM($AZ$16:AZ43)&lt;$P$62,$W44&gt;=$P$65),$P$64,0)</f>
        <v>0</v>
      </c>
      <c r="BA44" s="159">
        <f>IF(SUM($AQ$17:$AQ43)&gt;0,($P$62-SUM($AZ$17:$AZ43))*$F$65,0)</f>
        <v>0</v>
      </c>
      <c r="BB44" s="160">
        <f t="shared" si="32"/>
        <v>0</v>
      </c>
      <c r="BC44" s="156">
        <f t="shared" si="33"/>
        <v>0</v>
      </c>
      <c r="BD44" s="157">
        <f t="shared" si="16"/>
        <v>0</v>
      </c>
      <c r="BE44" s="49"/>
      <c r="BF44" s="46">
        <f t="shared" si="34"/>
        <v>0.38685315217874217</v>
      </c>
      <c r="BH44" s="155">
        <f t="shared" si="35"/>
        <v>0</v>
      </c>
      <c r="BI44" s="155">
        <f t="shared" si="36"/>
        <v>0</v>
      </c>
      <c r="BJ44" s="156">
        <f t="shared" si="37"/>
        <v>0</v>
      </c>
      <c r="BK44" s="156">
        <f t="shared" si="38"/>
        <v>0</v>
      </c>
      <c r="BL44" s="156">
        <f t="shared" si="39"/>
        <v>0</v>
      </c>
      <c r="BM44" s="156">
        <f t="shared" si="17"/>
        <v>0</v>
      </c>
      <c r="BN44" s="157">
        <f t="shared" si="40"/>
        <v>0</v>
      </c>
      <c r="BO44" s="156">
        <f t="shared" si="18"/>
        <v>0</v>
      </c>
      <c r="BP44" s="156">
        <f t="shared" si="19"/>
        <v>0</v>
      </c>
      <c r="BQ44" s="280">
        <f t="shared" si="20"/>
        <v>0</v>
      </c>
      <c r="BR44" s="156">
        <f t="shared" si="21"/>
        <v>0</v>
      </c>
      <c r="BS44" s="228">
        <f t="shared" si="41"/>
        <v>0</v>
      </c>
      <c r="BT44" s="156" cm="1">
        <f t="array" ref="BT44">IF($W44&lt;=$O$16,_xlfn.IFS(W44&lt;$F$16,$P$92,W44=$F$16,$P$93,W44&gt;$F$16,$P$94),0)</f>
        <v>0</v>
      </c>
      <c r="BU44" s="157">
        <f t="shared" si="42"/>
        <v>0</v>
      </c>
      <c r="BV44" s="157">
        <f t="shared" si="22"/>
        <v>0</v>
      </c>
      <c r="BW44" s="153"/>
      <c r="BX44" s="169">
        <f t="shared" si="23"/>
        <v>0</v>
      </c>
      <c r="BY44" s="286">
        <f t="shared" si="43"/>
        <v>0</v>
      </c>
      <c r="CA44"/>
    </row>
    <row r="45" spans="2:79" ht="15.75" customHeight="1">
      <c r="C45" t="s">
        <v>254</v>
      </c>
      <c r="D45" t="s">
        <v>8</v>
      </c>
      <c r="E45" s="192">
        <v>10</v>
      </c>
      <c r="F45" s="192">
        <v>6</v>
      </c>
      <c r="V45" s="58">
        <f t="shared" si="24"/>
        <v>55974</v>
      </c>
      <c r="W45" s="26">
        <v>29</v>
      </c>
      <c r="X45" s="282" t="str">
        <f t="shared" si="25"/>
        <v>-</v>
      </c>
      <c r="Y45" s="161">
        <f t="shared" si="0"/>
        <v>0</v>
      </c>
      <c r="Z45" s="159">
        <f t="shared" si="1"/>
        <v>0</v>
      </c>
      <c r="AA45" s="159">
        <f t="shared" si="2"/>
        <v>0</v>
      </c>
      <c r="AB45" s="159">
        <f t="shared" si="3"/>
        <v>0</v>
      </c>
      <c r="AC45" s="160">
        <f t="shared" si="26"/>
        <v>0</v>
      </c>
      <c r="AD45" s="161">
        <f t="shared" si="4"/>
        <v>0</v>
      </c>
      <c r="AE45" s="159">
        <f t="shared" si="5"/>
        <v>0</v>
      </c>
      <c r="AF45" s="159">
        <f t="shared" si="27"/>
        <v>0</v>
      </c>
      <c r="AG45" s="277">
        <f>IF(AND(SUM($AA$16:AA44)&gt;0,SUM($AG$16:AG44)&lt;$O$62,$W45&gt;=$O$65),$O$64,0)</f>
        <v>0</v>
      </c>
      <c r="AH45" s="228">
        <f>IF(SUM($AA$17:$AA44)&gt;0,($O$62-SUM($AG$17:$AG44))*$E$65,0)</f>
        <v>0</v>
      </c>
      <c r="AI45" s="160">
        <f t="shared" si="28"/>
        <v>0</v>
      </c>
      <c r="AJ45" s="156">
        <f t="shared" si="6"/>
        <v>0</v>
      </c>
      <c r="AK45" s="158">
        <f>(SUM($P$31,$P$51)-SUM($AU$17:AU44))*$O$109</f>
        <v>3.2969182939268646E-15</v>
      </c>
      <c r="AL45" s="163"/>
      <c r="AM45" s="157">
        <f t="shared" si="7"/>
        <v>0</v>
      </c>
      <c r="AN45" s="164"/>
      <c r="AO45" s="155">
        <f t="shared" si="8"/>
        <v>0</v>
      </c>
      <c r="AP45" s="156">
        <f t="shared" si="9"/>
        <v>0</v>
      </c>
      <c r="AQ45" s="156">
        <f t="shared" si="10"/>
        <v>0</v>
      </c>
      <c r="AR45" s="159">
        <f t="shared" si="11"/>
        <v>0</v>
      </c>
      <c r="AS45" s="160">
        <f t="shared" si="29"/>
        <v>0</v>
      </c>
      <c r="AT45" s="159">
        <f t="shared" si="12"/>
        <v>0</v>
      </c>
      <c r="AU45" s="159">
        <f t="shared" si="13"/>
        <v>0</v>
      </c>
      <c r="AV45" s="159">
        <f t="shared" si="14"/>
        <v>0</v>
      </c>
      <c r="AW45" s="159">
        <f t="shared" si="30"/>
        <v>0</v>
      </c>
      <c r="AX45" s="278">
        <f t="shared" si="31"/>
        <v>0</v>
      </c>
      <c r="AY45" s="279">
        <f t="shared" si="15"/>
        <v>0</v>
      </c>
      <c r="AZ45" s="278">
        <f>IF(AND(SUM($AQ$16:AQ44)&gt;0,SUM($AZ$16:AZ44)&lt;$P$62,$W45&gt;=$P$65),$P$64,0)</f>
        <v>0</v>
      </c>
      <c r="BA45" s="159">
        <f>IF(SUM($AQ$17:$AQ44)&gt;0,($P$62-SUM($AZ$17:$AZ44))*$F$65,0)</f>
        <v>0</v>
      </c>
      <c r="BB45" s="160">
        <f t="shared" si="32"/>
        <v>0</v>
      </c>
      <c r="BC45" s="156">
        <f t="shared" si="33"/>
        <v>0</v>
      </c>
      <c r="BD45" s="157">
        <f t="shared" si="16"/>
        <v>0</v>
      </c>
      <c r="BE45" s="49"/>
      <c r="BF45" s="46">
        <f t="shared" si="34"/>
        <v>0.37395181457587451</v>
      </c>
      <c r="BH45" s="155">
        <f t="shared" si="35"/>
        <v>0</v>
      </c>
      <c r="BI45" s="155">
        <f t="shared" si="36"/>
        <v>0</v>
      </c>
      <c r="BJ45" s="156">
        <f t="shared" si="37"/>
        <v>0</v>
      </c>
      <c r="BK45" s="156">
        <f t="shared" si="38"/>
        <v>0</v>
      </c>
      <c r="BL45" s="156">
        <f t="shared" si="39"/>
        <v>0</v>
      </c>
      <c r="BM45" s="156">
        <f t="shared" si="17"/>
        <v>0</v>
      </c>
      <c r="BN45" s="157">
        <f t="shared" si="40"/>
        <v>0</v>
      </c>
      <c r="BO45" s="156">
        <f t="shared" si="18"/>
        <v>0</v>
      </c>
      <c r="BP45" s="156">
        <f t="shared" si="19"/>
        <v>0</v>
      </c>
      <c r="BQ45" s="280">
        <f t="shared" si="20"/>
        <v>0</v>
      </c>
      <c r="BR45" s="156">
        <f t="shared" si="21"/>
        <v>0</v>
      </c>
      <c r="BS45" s="228">
        <f t="shared" si="41"/>
        <v>0</v>
      </c>
      <c r="BT45" s="156" cm="1">
        <f t="array" ref="BT45">IF($W45&lt;=$O$16,_xlfn.IFS(W45&lt;$F$16,$P$92,W45=$F$16,$P$93,W45&gt;$F$16,$P$94),0)</f>
        <v>0</v>
      </c>
      <c r="BU45" s="157">
        <f t="shared" si="42"/>
        <v>0</v>
      </c>
      <c r="BV45" s="157">
        <f t="shared" si="22"/>
        <v>0</v>
      </c>
      <c r="BW45" s="153"/>
      <c r="BX45" s="169">
        <f t="shared" si="23"/>
        <v>0</v>
      </c>
      <c r="BY45" s="286">
        <f t="shared" si="43"/>
        <v>0</v>
      </c>
      <c r="CA45"/>
    </row>
    <row r="46" spans="2:79" ht="15.75" customHeight="1">
      <c r="B46" t="s">
        <v>224</v>
      </c>
      <c r="J46" s="4" t="s">
        <v>218</v>
      </c>
      <c r="V46" s="58">
        <f t="shared" si="24"/>
        <v>56339</v>
      </c>
      <c r="W46" s="26">
        <v>30</v>
      </c>
      <c r="X46" s="282" t="str">
        <f t="shared" si="25"/>
        <v>-</v>
      </c>
      <c r="Y46" s="161">
        <f t="shared" si="0"/>
        <v>0</v>
      </c>
      <c r="Z46" s="159">
        <f t="shared" si="1"/>
        <v>0</v>
      </c>
      <c r="AA46" s="159">
        <f t="shared" si="2"/>
        <v>0</v>
      </c>
      <c r="AB46" s="159">
        <f t="shared" si="3"/>
        <v>0</v>
      </c>
      <c r="AC46" s="160">
        <f t="shared" si="26"/>
        <v>0</v>
      </c>
      <c r="AD46" s="161">
        <f t="shared" si="4"/>
        <v>0</v>
      </c>
      <c r="AE46" s="159">
        <f t="shared" si="5"/>
        <v>0</v>
      </c>
      <c r="AF46" s="159">
        <f t="shared" si="27"/>
        <v>0</v>
      </c>
      <c r="AG46" s="277">
        <f>IF(AND(SUM($AA$16:AA45)&gt;0,SUM($AG$16:AG45)&lt;$O$62,$W46&gt;=$O$65),$O$64,0)</f>
        <v>0</v>
      </c>
      <c r="AH46" s="228">
        <f>IF(SUM($AA$17:$AA45)&gt;0,($O$62-SUM($AG$17:$AG45))*$E$65,0)</f>
        <v>0</v>
      </c>
      <c r="AI46" s="160">
        <f t="shared" si="28"/>
        <v>0</v>
      </c>
      <c r="AJ46" s="156">
        <f t="shared" si="6"/>
        <v>0</v>
      </c>
      <c r="AK46" s="158">
        <f>(SUM($P$31,$P$51)-SUM($AU$17:AU45))*$O$109</f>
        <v>3.2969182939268646E-15</v>
      </c>
      <c r="AL46" s="163"/>
      <c r="AM46" s="157">
        <f t="shared" si="7"/>
        <v>0</v>
      </c>
      <c r="AN46" s="164"/>
      <c r="AO46" s="155">
        <f t="shared" si="8"/>
        <v>0</v>
      </c>
      <c r="AP46" s="156">
        <f t="shared" si="9"/>
        <v>0</v>
      </c>
      <c r="AQ46" s="156">
        <f t="shared" si="10"/>
        <v>0</v>
      </c>
      <c r="AR46" s="159">
        <f t="shared" si="11"/>
        <v>0</v>
      </c>
      <c r="AS46" s="160">
        <f t="shared" si="29"/>
        <v>0</v>
      </c>
      <c r="AT46" s="159">
        <f t="shared" si="12"/>
        <v>0</v>
      </c>
      <c r="AU46" s="159">
        <f t="shared" si="13"/>
        <v>0</v>
      </c>
      <c r="AV46" s="159">
        <f t="shared" si="14"/>
        <v>0</v>
      </c>
      <c r="AW46" s="159">
        <f t="shared" si="30"/>
        <v>0</v>
      </c>
      <c r="AX46" s="278">
        <f t="shared" si="31"/>
        <v>0</v>
      </c>
      <c r="AY46" s="279">
        <f t="shared" si="15"/>
        <v>0</v>
      </c>
      <c r="AZ46" s="278">
        <f>IF(AND(SUM($AQ$16:AQ45)&gt;0,SUM($AZ$16:AZ45)&lt;$P$62,$W46&gt;=$P$65),$P$64,0)</f>
        <v>0</v>
      </c>
      <c r="BA46" s="159">
        <f>IF(SUM($AQ$17:$AQ45)&gt;0,($P$62-SUM($AZ$17:$AZ45))*$F$65,0)</f>
        <v>0</v>
      </c>
      <c r="BB46" s="160">
        <f t="shared" si="32"/>
        <v>0</v>
      </c>
      <c r="BC46" s="156">
        <f t="shared" si="33"/>
        <v>0</v>
      </c>
      <c r="BD46" s="157">
        <f t="shared" si="16"/>
        <v>0</v>
      </c>
      <c r="BE46" s="49"/>
      <c r="BF46" s="47">
        <f t="shared" si="34"/>
        <v>0.36148072941118853</v>
      </c>
      <c r="BH46" s="155">
        <f t="shared" si="35"/>
        <v>0</v>
      </c>
      <c r="BI46" s="155">
        <f t="shared" si="36"/>
        <v>0</v>
      </c>
      <c r="BJ46" s="156">
        <f t="shared" si="37"/>
        <v>0</v>
      </c>
      <c r="BK46" s="156">
        <f t="shared" si="38"/>
        <v>0</v>
      </c>
      <c r="BL46" s="156">
        <f t="shared" si="39"/>
        <v>0</v>
      </c>
      <c r="BM46" s="159">
        <f t="shared" si="17"/>
        <v>0</v>
      </c>
      <c r="BN46" s="160">
        <f t="shared" si="40"/>
        <v>0</v>
      </c>
      <c r="BO46" s="156">
        <f t="shared" si="18"/>
        <v>0</v>
      </c>
      <c r="BP46" s="156">
        <f t="shared" si="19"/>
        <v>0</v>
      </c>
      <c r="BQ46" s="280">
        <f t="shared" si="20"/>
        <v>0</v>
      </c>
      <c r="BR46" s="156">
        <f t="shared" si="21"/>
        <v>0</v>
      </c>
      <c r="BS46" s="228">
        <f t="shared" si="41"/>
        <v>0</v>
      </c>
      <c r="BT46" s="156" cm="1">
        <f t="array" ref="BT46">IF($W46&lt;=$O$16,_xlfn.IFS(W46&lt;$F$16,$P$92,W46=$F$16,$P$93,W46&gt;$F$16,$P$94),0)</f>
        <v>0</v>
      </c>
      <c r="BU46" s="160">
        <f t="shared" si="42"/>
        <v>0</v>
      </c>
      <c r="BV46" s="160">
        <f t="shared" si="22"/>
        <v>0</v>
      </c>
      <c r="BW46" s="153"/>
      <c r="BX46" s="169">
        <f t="shared" si="23"/>
        <v>0</v>
      </c>
      <c r="BY46" s="286">
        <f t="shared" si="43"/>
        <v>0</v>
      </c>
      <c r="CA46"/>
    </row>
    <row r="47" spans="2:79" ht="15.75" customHeight="1">
      <c r="F47" s="73">
        <v>1</v>
      </c>
      <c r="G47">
        <v>0</v>
      </c>
      <c r="H47" t="s">
        <v>162</v>
      </c>
      <c r="K47" t="s">
        <v>163</v>
      </c>
      <c r="V47" s="58">
        <f t="shared" ref="V47:V56" si="44">IF(W47=1,DATE(YEAR($F$18)+(MONTH($F$18)&gt;=4),4,0),EOMONTH(V46,12))</f>
        <v>56704</v>
      </c>
      <c r="W47" s="26">
        <v>31</v>
      </c>
      <c r="X47" s="282" t="str">
        <f t="shared" si="25"/>
        <v>-</v>
      </c>
      <c r="Y47" s="161">
        <f t="shared" si="0"/>
        <v>0</v>
      </c>
      <c r="Z47" s="159">
        <f t="shared" si="1"/>
        <v>0</v>
      </c>
      <c r="AA47" s="159">
        <f t="shared" si="2"/>
        <v>0</v>
      </c>
      <c r="AB47" s="159">
        <f t="shared" ref="AB47:AB56" si="45">IF(X47="維持管理・運営期間",$F$56,0)</f>
        <v>0</v>
      </c>
      <c r="AC47" s="160">
        <f t="shared" ref="AC47:AC56" si="46">SUM(Y47:Z47,AB47)</f>
        <v>0</v>
      </c>
      <c r="AD47" s="161">
        <f t="shared" si="4"/>
        <v>0</v>
      </c>
      <c r="AE47" s="159">
        <f t="shared" si="5"/>
        <v>0</v>
      </c>
      <c r="AF47" s="159">
        <f t="shared" si="27"/>
        <v>0</v>
      </c>
      <c r="AG47" s="277">
        <f>IF(AND(SUM($AA$16:AA46)&gt;0,SUM($AG$16:AG46)&lt;$O$62,$W47&gt;=$O$65),$O$64,0)</f>
        <v>0</v>
      </c>
      <c r="AH47" s="228">
        <f>IF(SUM($AA$17:$AA46)&gt;0,($O$62-SUM($AG$17:$AG46))*$E$65,0)</f>
        <v>0</v>
      </c>
      <c r="AI47" s="160">
        <f t="shared" ref="AI47:AI56" si="47">SUM(AD47:AF47)</f>
        <v>0</v>
      </c>
      <c r="AJ47" s="156">
        <f t="shared" ref="AJ47:AJ56" si="48">AC47-AI47</f>
        <v>0</v>
      </c>
      <c r="AK47" s="158">
        <f>(SUM($P$31,$P$51)-SUM($AU$17:AU46))*$O$109</f>
        <v>3.2969182939268646E-15</v>
      </c>
      <c r="AL47" s="163"/>
      <c r="AM47" s="157">
        <f t="shared" ref="AM47:AM56" si="49">AJ47*$BF47</f>
        <v>0</v>
      </c>
      <c r="AN47" s="164"/>
      <c r="AO47" s="155">
        <f t="shared" si="8"/>
        <v>0</v>
      </c>
      <c r="AP47" s="156">
        <f t="shared" si="9"/>
        <v>0</v>
      </c>
      <c r="AQ47" s="156">
        <f t="shared" si="10"/>
        <v>0</v>
      </c>
      <c r="AR47" s="159">
        <f t="shared" ref="AR47:AR56" si="50">IF($W47&lt;$O$16,IF(W47=$F$16,$U$92,$U$93),0)</f>
        <v>0</v>
      </c>
      <c r="AS47" s="160">
        <f t="shared" ref="AS47:AS56" si="51">SUM(AO47:AP47,AR47)</f>
        <v>0</v>
      </c>
      <c r="AT47" s="159">
        <f t="shared" ref="AT47:AT56" si="52">IF(W47=$F$16,$P$30,0)</f>
        <v>0</v>
      </c>
      <c r="AU47" s="159">
        <f t="shared" si="13"/>
        <v>0</v>
      </c>
      <c r="AV47" s="159">
        <f t="shared" si="14"/>
        <v>0</v>
      </c>
      <c r="AW47" s="159">
        <f t="shared" ref="AW47:AW56" si="53">IF(AND(W47&gt;$F$16,W47&lt;=SUM($F$16:$F$17)),$P$43,0)</f>
        <v>0</v>
      </c>
      <c r="AX47" s="278">
        <f t="shared" si="31"/>
        <v>0</v>
      </c>
      <c r="AY47" s="279">
        <f t="shared" si="15"/>
        <v>0</v>
      </c>
      <c r="AZ47" s="278">
        <f>IF(AND(SUM($AQ$16:AQ46)&gt;0,SUM($AZ$16:AZ46)&lt;$P$62,$W47&gt;=$P$65),$P$64,0)</f>
        <v>0</v>
      </c>
      <c r="BA47" s="159">
        <f>IF(SUM($AQ$17:$AQ46)&gt;0,($P$62-SUM($AZ$17:$AZ46))*$F$65,0)</f>
        <v>0</v>
      </c>
      <c r="BB47" s="160">
        <f t="shared" ref="BB47:BB56" si="54">SUM(AT47:AY47)</f>
        <v>0</v>
      </c>
      <c r="BC47" s="156">
        <f t="shared" ref="BC47:BC56" si="55">AS47-BB47</f>
        <v>0</v>
      </c>
      <c r="BD47" s="157">
        <f t="shared" ref="BD47:BD56" si="56">BC47*$BF47</f>
        <v>0</v>
      </c>
      <c r="BE47" s="49"/>
      <c r="BF47" s="47">
        <f t="shared" si="34"/>
        <v>0.34942554800501552</v>
      </c>
      <c r="BH47" s="155">
        <f t="shared" ref="BH47:BH56" si="57">AT47</f>
        <v>0</v>
      </c>
      <c r="BI47" s="155">
        <f t="shared" ref="BI47:BI56" si="58">AU47</f>
        <v>0</v>
      </c>
      <c r="BJ47" s="156">
        <f t="shared" ref="BJ47:BJ56" si="59">AV47</f>
        <v>0</v>
      </c>
      <c r="BK47" s="156">
        <f t="shared" ref="BK47:BK56" si="60">AW47</f>
        <v>0</v>
      </c>
      <c r="BL47" s="156">
        <f t="shared" ref="BL47:BL56" si="61">AY47</f>
        <v>0</v>
      </c>
      <c r="BM47" s="159">
        <f t="shared" ref="BM47:BM56" si="62">IF($W47&gt;$F$16,$F$56,0)</f>
        <v>0</v>
      </c>
      <c r="BN47" s="160">
        <f t="shared" ref="BN47:BN56" si="63">SUM(BH47:BM47)</f>
        <v>0</v>
      </c>
      <c r="BO47" s="156">
        <f t="shared" si="18"/>
        <v>0</v>
      </c>
      <c r="BP47" s="156">
        <f t="shared" ref="BP47:BP56" si="64">IF(AND(W47&gt;$F$16,W47&lt;=SUM($F$16:$F$17)),$P$41,0)</f>
        <v>0</v>
      </c>
      <c r="BQ47" s="280">
        <f t="shared" si="20"/>
        <v>0</v>
      </c>
      <c r="BR47" s="156">
        <f t="shared" ref="BR47:BR56" si="65">IF($W47&lt;=$O$16,$F$105,0)</f>
        <v>0</v>
      </c>
      <c r="BS47" s="228">
        <f t="shared" si="41"/>
        <v>0</v>
      </c>
      <c r="BT47" s="156" cm="1">
        <f t="array" ref="BT47">IF($W47&lt;=$O$16,_xlfn.IFS(W47&lt;$F$16,$P$92,W47=$F$16,$P$93,W47&gt;$F$16,$P$94),0)</f>
        <v>0</v>
      </c>
      <c r="BU47" s="160">
        <f t="shared" ref="BU47:BU56" si="66">SUM(BO47:BP47,BR47:BT47)</f>
        <v>0</v>
      </c>
      <c r="BV47" s="160">
        <f t="shared" ref="BV47:BV56" si="67">BN47-BU47</f>
        <v>0</v>
      </c>
      <c r="BW47" s="153"/>
      <c r="BX47" s="169">
        <f t="shared" si="23"/>
        <v>0</v>
      </c>
      <c r="BY47" s="286">
        <f t="shared" si="43"/>
        <v>0</v>
      </c>
      <c r="CA47"/>
    </row>
    <row r="48" spans="2:79" ht="15.75" customHeight="1">
      <c r="G48">
        <v>1</v>
      </c>
      <c r="H48" t="s">
        <v>161</v>
      </c>
      <c r="M48" t="s">
        <v>164</v>
      </c>
      <c r="N48" s="19" t="s">
        <v>8</v>
      </c>
      <c r="O48" s="53"/>
      <c r="P48" s="121">
        <f>F104</f>
        <v>100</v>
      </c>
      <c r="V48" s="58">
        <f t="shared" si="44"/>
        <v>57070</v>
      </c>
      <c r="W48" s="26">
        <v>32</v>
      </c>
      <c r="X48" s="282" t="str">
        <f t="shared" si="25"/>
        <v>-</v>
      </c>
      <c r="Y48" s="161">
        <f t="shared" si="0"/>
        <v>0</v>
      </c>
      <c r="Z48" s="159">
        <f t="shared" si="1"/>
        <v>0</v>
      </c>
      <c r="AA48" s="159">
        <f t="shared" si="2"/>
        <v>0</v>
      </c>
      <c r="AB48" s="159">
        <f t="shared" si="45"/>
        <v>0</v>
      </c>
      <c r="AC48" s="160">
        <f t="shared" si="46"/>
        <v>0</v>
      </c>
      <c r="AD48" s="161">
        <f t="shared" si="4"/>
        <v>0</v>
      </c>
      <c r="AE48" s="159">
        <f t="shared" si="5"/>
        <v>0</v>
      </c>
      <c r="AF48" s="159">
        <f t="shared" si="27"/>
        <v>0</v>
      </c>
      <c r="AG48" s="277">
        <f>IF(AND(SUM($AA$16:AA47)&gt;0,SUM($AG$16:AG47)&lt;$O$62,$W48&gt;=$O$65),$O$64,0)</f>
        <v>0</v>
      </c>
      <c r="AH48" s="228">
        <f>IF(SUM($AA$17:$AA47)&gt;0,($O$62-SUM($AG$17:$AG47))*$E$65,0)</f>
        <v>0</v>
      </c>
      <c r="AI48" s="160">
        <f t="shared" si="47"/>
        <v>0</v>
      </c>
      <c r="AJ48" s="156">
        <f t="shared" si="48"/>
        <v>0</v>
      </c>
      <c r="AK48" s="158">
        <f>(SUM($P$31,$P$51)-SUM($AU$17:AU47))*$O$109</f>
        <v>3.2969182939268646E-15</v>
      </c>
      <c r="AL48" s="163"/>
      <c r="AM48" s="157">
        <f t="shared" si="49"/>
        <v>0</v>
      </c>
      <c r="AN48" s="164"/>
      <c r="AO48" s="155">
        <f t="shared" si="8"/>
        <v>0</v>
      </c>
      <c r="AP48" s="156">
        <f t="shared" si="9"/>
        <v>0</v>
      </c>
      <c r="AQ48" s="156">
        <f t="shared" si="10"/>
        <v>0</v>
      </c>
      <c r="AR48" s="159">
        <f t="shared" si="50"/>
        <v>0</v>
      </c>
      <c r="AS48" s="160">
        <f t="shared" si="51"/>
        <v>0</v>
      </c>
      <c r="AT48" s="159">
        <f t="shared" si="52"/>
        <v>0</v>
      </c>
      <c r="AU48" s="159">
        <f t="shared" si="13"/>
        <v>0</v>
      </c>
      <c r="AV48" s="159">
        <f t="shared" si="14"/>
        <v>0</v>
      </c>
      <c r="AW48" s="159">
        <f t="shared" si="53"/>
        <v>0</v>
      </c>
      <c r="AX48" s="278">
        <f t="shared" si="31"/>
        <v>0</v>
      </c>
      <c r="AY48" s="279">
        <f t="shared" si="15"/>
        <v>0</v>
      </c>
      <c r="AZ48" s="278">
        <f>IF(AND(SUM($AQ$16:AQ47)&gt;0,SUM($AZ$16:AZ47)&lt;$P$62,$W48&gt;=$P$65),$P$64,0)</f>
        <v>0</v>
      </c>
      <c r="BA48" s="159">
        <f>IF(SUM($AQ$17:$AQ47)&gt;0,($P$62-SUM($AZ$17:$AZ47))*$F$65,0)</f>
        <v>0</v>
      </c>
      <c r="BB48" s="160">
        <f t="shared" si="54"/>
        <v>0</v>
      </c>
      <c r="BC48" s="156">
        <f t="shared" si="55"/>
        <v>0</v>
      </c>
      <c r="BD48" s="157">
        <f t="shared" si="56"/>
        <v>0</v>
      </c>
      <c r="BE48" s="49"/>
      <c r="BF48" s="47">
        <f t="shared" si="34"/>
        <v>0.33777240019817839</v>
      </c>
      <c r="BH48" s="155">
        <f t="shared" si="57"/>
        <v>0</v>
      </c>
      <c r="BI48" s="155">
        <f t="shared" si="58"/>
        <v>0</v>
      </c>
      <c r="BJ48" s="156">
        <f t="shared" si="59"/>
        <v>0</v>
      </c>
      <c r="BK48" s="156">
        <f t="shared" si="60"/>
        <v>0</v>
      </c>
      <c r="BL48" s="156">
        <f t="shared" si="61"/>
        <v>0</v>
      </c>
      <c r="BM48" s="159">
        <f t="shared" si="62"/>
        <v>0</v>
      </c>
      <c r="BN48" s="160">
        <f t="shared" si="63"/>
        <v>0</v>
      </c>
      <c r="BO48" s="156">
        <f t="shared" si="18"/>
        <v>0</v>
      </c>
      <c r="BP48" s="156">
        <f t="shared" si="64"/>
        <v>0</v>
      </c>
      <c r="BQ48" s="280">
        <f t="shared" si="20"/>
        <v>0</v>
      </c>
      <c r="BR48" s="156">
        <f t="shared" si="65"/>
        <v>0</v>
      </c>
      <c r="BS48" s="228">
        <f t="shared" si="41"/>
        <v>0</v>
      </c>
      <c r="BT48" s="156" cm="1">
        <f t="array" ref="BT48">IF($W48&lt;=$O$16,_xlfn.IFS(W48&lt;$F$16,$P$92,W48=$F$16,$P$93,W48&gt;$F$16,$P$94),0)</f>
        <v>0</v>
      </c>
      <c r="BU48" s="160">
        <f t="shared" si="66"/>
        <v>0</v>
      </c>
      <c r="BV48" s="160">
        <f t="shared" si="67"/>
        <v>0</v>
      </c>
      <c r="BW48" s="153"/>
      <c r="BX48" s="169">
        <f t="shared" si="23"/>
        <v>0</v>
      </c>
      <c r="BY48" s="286">
        <f t="shared" si="43"/>
        <v>0</v>
      </c>
    </row>
    <row r="49" spans="1:77" ht="15.75" customHeight="1">
      <c r="B49" s="93" t="s">
        <v>216</v>
      </c>
      <c r="I49" s="19"/>
      <c r="M49" t="s">
        <v>169</v>
      </c>
      <c r="N49" s="19" t="s">
        <v>8</v>
      </c>
      <c r="O49" s="122"/>
      <c r="P49" s="123">
        <f>F105*$F$16</f>
        <v>36</v>
      </c>
      <c r="V49" s="58">
        <f t="shared" si="44"/>
        <v>57435</v>
      </c>
      <c r="W49" s="26">
        <v>33</v>
      </c>
      <c r="X49" s="282" t="str">
        <f t="shared" si="25"/>
        <v>-</v>
      </c>
      <c r="Y49" s="161">
        <f t="shared" si="0"/>
        <v>0</v>
      </c>
      <c r="Z49" s="159">
        <f t="shared" si="1"/>
        <v>0</v>
      </c>
      <c r="AA49" s="159">
        <f t="shared" si="2"/>
        <v>0</v>
      </c>
      <c r="AB49" s="159">
        <f t="shared" si="45"/>
        <v>0</v>
      </c>
      <c r="AC49" s="160">
        <f t="shared" si="46"/>
        <v>0</v>
      </c>
      <c r="AD49" s="161">
        <f t="shared" si="4"/>
        <v>0</v>
      </c>
      <c r="AE49" s="159">
        <f t="shared" si="5"/>
        <v>0</v>
      </c>
      <c r="AF49" s="159">
        <f t="shared" si="27"/>
        <v>0</v>
      </c>
      <c r="AG49" s="277">
        <f>IF(AND(SUM($AA$16:AA48)&gt;0,SUM($AG$16:AG48)&lt;$O$62,$W49&gt;=$O$65),$O$64,0)</f>
        <v>0</v>
      </c>
      <c r="AH49" s="228">
        <f>IF(SUM($AA$17:$AA48)&gt;0,($O$62-SUM($AG$17:$AG48))*$E$65,0)</f>
        <v>0</v>
      </c>
      <c r="AI49" s="160">
        <f t="shared" si="47"/>
        <v>0</v>
      </c>
      <c r="AJ49" s="156">
        <f t="shared" si="48"/>
        <v>0</v>
      </c>
      <c r="AK49" s="158">
        <f>(SUM($P$31,$P$51)-SUM($AU$17:AU48))*$O$109</f>
        <v>3.2969182939268646E-15</v>
      </c>
      <c r="AL49" s="163"/>
      <c r="AM49" s="157">
        <f t="shared" si="49"/>
        <v>0</v>
      </c>
      <c r="AN49" s="164"/>
      <c r="AO49" s="155">
        <f t="shared" si="8"/>
        <v>0</v>
      </c>
      <c r="AP49" s="156">
        <f t="shared" si="9"/>
        <v>0</v>
      </c>
      <c r="AQ49" s="156">
        <f t="shared" si="10"/>
        <v>0</v>
      </c>
      <c r="AR49" s="159">
        <f t="shared" si="50"/>
        <v>0</v>
      </c>
      <c r="AS49" s="160">
        <f t="shared" si="51"/>
        <v>0</v>
      </c>
      <c r="AT49" s="159">
        <f t="shared" si="52"/>
        <v>0</v>
      </c>
      <c r="AU49" s="159">
        <f t="shared" si="13"/>
        <v>0</v>
      </c>
      <c r="AV49" s="159">
        <f t="shared" si="14"/>
        <v>0</v>
      </c>
      <c r="AW49" s="159">
        <f t="shared" si="53"/>
        <v>0</v>
      </c>
      <c r="AX49" s="278">
        <f t="shared" si="31"/>
        <v>0</v>
      </c>
      <c r="AY49" s="279">
        <f t="shared" si="15"/>
        <v>0</v>
      </c>
      <c r="AZ49" s="278">
        <f>IF(AND(SUM($AQ$16:AQ48)&gt;0,SUM($AZ$16:AZ48)&lt;$P$62,$W49&gt;=$P$65),$P$64,0)</f>
        <v>0</v>
      </c>
      <c r="BA49" s="159">
        <f>IF(SUM($AQ$17:$AQ48)&gt;0,($P$62-SUM($AZ$17:$AZ48))*$F$65,0)</f>
        <v>0</v>
      </c>
      <c r="BB49" s="160">
        <f t="shared" si="54"/>
        <v>0</v>
      </c>
      <c r="BC49" s="156">
        <f t="shared" si="55"/>
        <v>0</v>
      </c>
      <c r="BD49" s="157">
        <f t="shared" si="56"/>
        <v>0</v>
      </c>
      <c r="BE49" s="49"/>
      <c r="BF49" s="47">
        <f t="shared" si="34"/>
        <v>0.32650787839359924</v>
      </c>
      <c r="BH49" s="155">
        <f t="shared" si="57"/>
        <v>0</v>
      </c>
      <c r="BI49" s="155">
        <f t="shared" si="58"/>
        <v>0</v>
      </c>
      <c r="BJ49" s="156">
        <f t="shared" si="59"/>
        <v>0</v>
      </c>
      <c r="BK49" s="156">
        <f t="shared" si="60"/>
        <v>0</v>
      </c>
      <c r="BL49" s="156">
        <f t="shared" si="61"/>
        <v>0</v>
      </c>
      <c r="BM49" s="159">
        <f t="shared" si="62"/>
        <v>0</v>
      </c>
      <c r="BN49" s="160">
        <f t="shared" si="63"/>
        <v>0</v>
      </c>
      <c r="BO49" s="156">
        <f t="shared" si="18"/>
        <v>0</v>
      </c>
      <c r="BP49" s="156">
        <f t="shared" si="64"/>
        <v>0</v>
      </c>
      <c r="BQ49" s="280">
        <f t="shared" si="20"/>
        <v>0</v>
      </c>
      <c r="BR49" s="156">
        <f t="shared" si="65"/>
        <v>0</v>
      </c>
      <c r="BS49" s="228">
        <f t="shared" si="41"/>
        <v>0</v>
      </c>
      <c r="BT49" s="156" cm="1">
        <f t="array" ref="BT49">IF($W49&lt;=$O$16,_xlfn.IFS(W49&lt;$F$16,$P$92,W49=$F$16,$P$93,W49&gt;$F$16,$P$94),0)</f>
        <v>0</v>
      </c>
      <c r="BU49" s="160">
        <f t="shared" si="66"/>
        <v>0</v>
      </c>
      <c r="BV49" s="160">
        <f t="shared" si="67"/>
        <v>0</v>
      </c>
      <c r="BW49" s="153"/>
      <c r="BX49" s="169">
        <f t="shared" si="23"/>
        <v>0</v>
      </c>
      <c r="BY49" s="286">
        <f t="shared" si="43"/>
        <v>0</v>
      </c>
    </row>
    <row r="50" spans="1:77" ht="15.75" customHeight="1" thickBot="1">
      <c r="C50" s="56" t="s">
        <v>115</v>
      </c>
      <c r="D50" t="s">
        <v>6</v>
      </c>
      <c r="F50" s="268">
        <v>0.95</v>
      </c>
      <c r="H50" s="56" t="s">
        <v>108</v>
      </c>
      <c r="M50" t="s">
        <v>171</v>
      </c>
      <c r="N50" s="19" t="s">
        <v>8</v>
      </c>
      <c r="O50" s="122"/>
      <c r="P50" s="123">
        <f>SUM(P82,P86)+P92</f>
        <v>105.78</v>
      </c>
      <c r="Q50" t="s">
        <v>172</v>
      </c>
      <c r="V50" s="58">
        <f t="shared" si="44"/>
        <v>57800</v>
      </c>
      <c r="W50" s="26">
        <v>34</v>
      </c>
      <c r="X50" s="282" t="str">
        <f t="shared" si="25"/>
        <v>-</v>
      </c>
      <c r="Y50" s="161">
        <f t="shared" si="0"/>
        <v>0</v>
      </c>
      <c r="Z50" s="159">
        <f t="shared" si="1"/>
        <v>0</v>
      </c>
      <c r="AA50" s="159">
        <f t="shared" si="2"/>
        <v>0</v>
      </c>
      <c r="AB50" s="159">
        <f t="shared" si="45"/>
        <v>0</v>
      </c>
      <c r="AC50" s="160">
        <f t="shared" si="46"/>
        <v>0</v>
      </c>
      <c r="AD50" s="161">
        <f t="shared" si="4"/>
        <v>0</v>
      </c>
      <c r="AE50" s="159">
        <f t="shared" si="5"/>
        <v>0</v>
      </c>
      <c r="AF50" s="159">
        <f t="shared" si="27"/>
        <v>0</v>
      </c>
      <c r="AG50" s="277">
        <f>IF(AND(SUM($AA$16:AA49)&gt;0,SUM($AG$16:AG49)&lt;$O$62,$W50&gt;=$O$65),$O$64,0)</f>
        <v>0</v>
      </c>
      <c r="AH50" s="228">
        <f>IF(SUM($AA$17:$AA49)&gt;0,($O$62-SUM($AG$17:$AG49))*$E$65,0)</f>
        <v>0</v>
      </c>
      <c r="AI50" s="160">
        <f t="shared" si="47"/>
        <v>0</v>
      </c>
      <c r="AJ50" s="156">
        <f t="shared" si="48"/>
        <v>0</v>
      </c>
      <c r="AK50" s="158">
        <f>(SUM($P$31,$P$51)-SUM($AU$17:AU49))*$O$109</f>
        <v>3.2969182939268646E-15</v>
      </c>
      <c r="AL50" s="163"/>
      <c r="AM50" s="157">
        <f t="shared" si="49"/>
        <v>0</v>
      </c>
      <c r="AN50" s="164"/>
      <c r="AO50" s="155">
        <f t="shared" si="8"/>
        <v>0</v>
      </c>
      <c r="AP50" s="156">
        <f t="shared" si="9"/>
        <v>0</v>
      </c>
      <c r="AQ50" s="156">
        <f t="shared" si="10"/>
        <v>0</v>
      </c>
      <c r="AR50" s="159">
        <f t="shared" si="50"/>
        <v>0</v>
      </c>
      <c r="AS50" s="160">
        <f t="shared" si="51"/>
        <v>0</v>
      </c>
      <c r="AT50" s="159">
        <f t="shared" si="52"/>
        <v>0</v>
      </c>
      <c r="AU50" s="159">
        <f t="shared" si="13"/>
        <v>0</v>
      </c>
      <c r="AV50" s="159">
        <f t="shared" si="14"/>
        <v>0</v>
      </c>
      <c r="AW50" s="159">
        <f t="shared" si="53"/>
        <v>0</v>
      </c>
      <c r="AX50" s="278">
        <f t="shared" si="31"/>
        <v>0</v>
      </c>
      <c r="AY50" s="279">
        <f t="shared" si="15"/>
        <v>0</v>
      </c>
      <c r="AZ50" s="278">
        <f>IF(AND(SUM($AQ$16:AQ49)&gt;0,SUM($AZ$16:AZ49)&lt;$P$62,$W50&gt;=$P$65),$P$64,0)</f>
        <v>0</v>
      </c>
      <c r="BA50" s="159">
        <f>IF(SUM($AQ$17:$AQ49)&gt;0,($P$62-SUM($AZ$17:$AZ49))*$F$65,0)</f>
        <v>0</v>
      </c>
      <c r="BB50" s="160">
        <f t="shared" si="54"/>
        <v>0</v>
      </c>
      <c r="BC50" s="156">
        <f t="shared" si="55"/>
        <v>0</v>
      </c>
      <c r="BD50" s="157">
        <f t="shared" si="56"/>
        <v>0</v>
      </c>
      <c r="BE50" s="49"/>
      <c r="BF50" s="47">
        <f t="shared" si="34"/>
        <v>0.31561902213011045</v>
      </c>
      <c r="BH50" s="155">
        <f t="shared" si="57"/>
        <v>0</v>
      </c>
      <c r="BI50" s="155">
        <f t="shared" si="58"/>
        <v>0</v>
      </c>
      <c r="BJ50" s="156">
        <f t="shared" si="59"/>
        <v>0</v>
      </c>
      <c r="BK50" s="156">
        <f t="shared" si="60"/>
        <v>0</v>
      </c>
      <c r="BL50" s="156">
        <f t="shared" si="61"/>
        <v>0</v>
      </c>
      <c r="BM50" s="159">
        <f t="shared" si="62"/>
        <v>0</v>
      </c>
      <c r="BN50" s="160">
        <f t="shared" si="63"/>
        <v>0</v>
      </c>
      <c r="BO50" s="156">
        <f t="shared" si="18"/>
        <v>0</v>
      </c>
      <c r="BP50" s="156">
        <f t="shared" si="64"/>
        <v>0</v>
      </c>
      <c r="BQ50" s="280">
        <f t="shared" si="20"/>
        <v>0</v>
      </c>
      <c r="BR50" s="156">
        <f t="shared" si="65"/>
        <v>0</v>
      </c>
      <c r="BS50" s="228">
        <f t="shared" si="41"/>
        <v>0</v>
      </c>
      <c r="BT50" s="156" cm="1">
        <f t="array" ref="BT50">IF($W50&lt;=$O$16,_xlfn.IFS(W50&lt;$F$16,$P$92,W50=$F$16,$P$93,W50&gt;$F$16,$P$94),0)</f>
        <v>0</v>
      </c>
      <c r="BU50" s="160">
        <f t="shared" si="66"/>
        <v>0</v>
      </c>
      <c r="BV50" s="160">
        <f t="shared" si="67"/>
        <v>0</v>
      </c>
      <c r="BW50" s="153"/>
      <c r="BX50" s="169">
        <f t="shared" si="23"/>
        <v>0</v>
      </c>
      <c r="BY50" s="286">
        <f t="shared" si="43"/>
        <v>0</v>
      </c>
    </row>
    <row r="51" spans="1:77" ht="15.75" customHeight="1" thickBot="1">
      <c r="B51" s="56"/>
      <c r="C51" s="56" t="s">
        <v>116</v>
      </c>
      <c r="D51" t="s">
        <v>6</v>
      </c>
      <c r="F51" s="199">
        <f>事業費用概算!I32</f>
        <v>0.2</v>
      </c>
      <c r="K51" s="124" t="s">
        <v>176</v>
      </c>
      <c r="L51" s="125"/>
      <c r="M51" s="125"/>
      <c r="N51" s="126" t="s">
        <v>8</v>
      </c>
      <c r="O51" s="127"/>
      <c r="P51" s="128">
        <f>SUM(P48:P50)*$F$47</f>
        <v>241.78</v>
      </c>
      <c r="Q51" t="s">
        <v>166</v>
      </c>
      <c r="V51" s="58">
        <f t="shared" si="44"/>
        <v>58165</v>
      </c>
      <c r="W51" s="26">
        <v>35</v>
      </c>
      <c r="X51" s="282" t="str">
        <f t="shared" si="25"/>
        <v>-</v>
      </c>
      <c r="Y51" s="161">
        <f t="shared" si="0"/>
        <v>0</v>
      </c>
      <c r="Z51" s="159">
        <f t="shared" si="1"/>
        <v>0</v>
      </c>
      <c r="AA51" s="159">
        <f t="shared" si="2"/>
        <v>0</v>
      </c>
      <c r="AB51" s="159">
        <f t="shared" si="45"/>
        <v>0</v>
      </c>
      <c r="AC51" s="160">
        <f t="shared" si="46"/>
        <v>0</v>
      </c>
      <c r="AD51" s="161">
        <f t="shared" si="4"/>
        <v>0</v>
      </c>
      <c r="AE51" s="159">
        <f t="shared" si="5"/>
        <v>0</v>
      </c>
      <c r="AF51" s="159">
        <f t="shared" si="27"/>
        <v>0</v>
      </c>
      <c r="AG51" s="277">
        <f>IF(AND(SUM($AA$16:AA50)&gt;0,SUM($AG$16:AG50)&lt;$O$62,$W51&gt;=$O$65),$O$64,0)</f>
        <v>0</v>
      </c>
      <c r="AH51" s="228">
        <f>IF(SUM($AA$17:$AA50)&gt;0,($O$62-SUM($AG$17:$AG50))*$E$65,0)</f>
        <v>0</v>
      </c>
      <c r="AI51" s="160">
        <f t="shared" si="47"/>
        <v>0</v>
      </c>
      <c r="AJ51" s="156">
        <f t="shared" si="48"/>
        <v>0</v>
      </c>
      <c r="AK51" s="158">
        <f>(SUM($P$31,$P$51)-SUM($AU$17:AU50))*$O$109</f>
        <v>3.2969182939268646E-15</v>
      </c>
      <c r="AL51" s="163"/>
      <c r="AM51" s="157">
        <f t="shared" si="49"/>
        <v>0</v>
      </c>
      <c r="AN51" s="164"/>
      <c r="AO51" s="155">
        <f t="shared" si="8"/>
        <v>0</v>
      </c>
      <c r="AP51" s="156">
        <f t="shared" si="9"/>
        <v>0</v>
      </c>
      <c r="AQ51" s="156">
        <f t="shared" si="10"/>
        <v>0</v>
      </c>
      <c r="AR51" s="159">
        <f t="shared" si="50"/>
        <v>0</v>
      </c>
      <c r="AS51" s="160">
        <f t="shared" si="51"/>
        <v>0</v>
      </c>
      <c r="AT51" s="159">
        <f t="shared" si="52"/>
        <v>0</v>
      </c>
      <c r="AU51" s="159">
        <f t="shared" si="13"/>
        <v>0</v>
      </c>
      <c r="AV51" s="159">
        <f t="shared" si="14"/>
        <v>0</v>
      </c>
      <c r="AW51" s="159">
        <f t="shared" si="53"/>
        <v>0</v>
      </c>
      <c r="AX51" s="278">
        <f t="shared" si="31"/>
        <v>0</v>
      </c>
      <c r="AY51" s="279">
        <f t="shared" si="15"/>
        <v>0</v>
      </c>
      <c r="AZ51" s="278">
        <f>IF(AND(SUM($AQ$16:AQ50)&gt;0,SUM($AZ$16:AZ50)&lt;$P$62,$W51&gt;=$P$65),$P$64,0)</f>
        <v>0</v>
      </c>
      <c r="BA51" s="159">
        <f>IF(SUM($AQ$17:$AQ50)&gt;0,($P$62-SUM($AZ$17:$AZ50))*$F$65,0)</f>
        <v>0</v>
      </c>
      <c r="BB51" s="160">
        <f t="shared" si="54"/>
        <v>0</v>
      </c>
      <c r="BC51" s="156">
        <f t="shared" si="55"/>
        <v>0</v>
      </c>
      <c r="BD51" s="157">
        <f t="shared" si="56"/>
        <v>0</v>
      </c>
      <c r="BE51" s="49"/>
      <c r="BF51" s="47">
        <f t="shared" si="34"/>
        <v>0.30509330317072059</v>
      </c>
      <c r="BH51" s="155">
        <f t="shared" si="57"/>
        <v>0</v>
      </c>
      <c r="BI51" s="155">
        <f t="shared" si="58"/>
        <v>0</v>
      </c>
      <c r="BJ51" s="156">
        <f t="shared" si="59"/>
        <v>0</v>
      </c>
      <c r="BK51" s="156">
        <f t="shared" si="60"/>
        <v>0</v>
      </c>
      <c r="BL51" s="156">
        <f t="shared" si="61"/>
        <v>0</v>
      </c>
      <c r="BM51" s="159">
        <f t="shared" si="62"/>
        <v>0</v>
      </c>
      <c r="BN51" s="160">
        <f t="shared" si="63"/>
        <v>0</v>
      </c>
      <c r="BO51" s="156">
        <f t="shared" si="18"/>
        <v>0</v>
      </c>
      <c r="BP51" s="156">
        <f t="shared" si="64"/>
        <v>0</v>
      </c>
      <c r="BQ51" s="280">
        <f t="shared" si="20"/>
        <v>0</v>
      </c>
      <c r="BR51" s="156">
        <f t="shared" si="65"/>
        <v>0</v>
      </c>
      <c r="BS51" s="228">
        <f t="shared" si="41"/>
        <v>0</v>
      </c>
      <c r="BT51" s="156" cm="1">
        <f t="array" ref="BT51">IF($W51&lt;=$O$16,_xlfn.IFS(W51&lt;$F$16,$P$92,W51=$F$16,$P$93,W51&gt;$F$16,$P$94),0)</f>
        <v>0</v>
      </c>
      <c r="BU51" s="160">
        <f t="shared" si="66"/>
        <v>0</v>
      </c>
      <c r="BV51" s="160">
        <f t="shared" si="67"/>
        <v>0</v>
      </c>
      <c r="BW51" s="153"/>
      <c r="BX51" s="169">
        <f t="shared" si="23"/>
        <v>0</v>
      </c>
      <c r="BY51" s="286">
        <f t="shared" si="43"/>
        <v>0</v>
      </c>
    </row>
    <row r="52" spans="1:77" ht="15.75" customHeight="1">
      <c r="B52" s="56"/>
      <c r="C52" s="56" t="s">
        <v>117</v>
      </c>
      <c r="D52" t="s">
        <v>6</v>
      </c>
      <c r="F52" s="199">
        <f>事業費用概算!I33</f>
        <v>0.2</v>
      </c>
      <c r="M52" t="s">
        <v>165</v>
      </c>
      <c r="N52" s="19" t="s">
        <v>8</v>
      </c>
      <c r="O52" s="129"/>
      <c r="P52" s="130">
        <f>F105</f>
        <v>12</v>
      </c>
      <c r="V52" s="58">
        <f t="shared" si="44"/>
        <v>58531</v>
      </c>
      <c r="W52" s="26">
        <v>36</v>
      </c>
      <c r="X52" s="282" t="str">
        <f t="shared" si="25"/>
        <v>-</v>
      </c>
      <c r="Y52" s="161">
        <f t="shared" si="0"/>
        <v>0</v>
      </c>
      <c r="Z52" s="159">
        <f t="shared" si="1"/>
        <v>0</v>
      </c>
      <c r="AA52" s="159">
        <f t="shared" si="2"/>
        <v>0</v>
      </c>
      <c r="AB52" s="159">
        <f t="shared" si="45"/>
        <v>0</v>
      </c>
      <c r="AC52" s="160">
        <f t="shared" si="46"/>
        <v>0</v>
      </c>
      <c r="AD52" s="161">
        <f t="shared" si="4"/>
        <v>0</v>
      </c>
      <c r="AE52" s="159">
        <f t="shared" si="5"/>
        <v>0</v>
      </c>
      <c r="AF52" s="159">
        <f t="shared" si="27"/>
        <v>0</v>
      </c>
      <c r="AG52" s="277">
        <f>IF(AND(SUM($AA$16:AA51)&gt;0,SUM($AG$16:AG51)&lt;$O$62,$W52&gt;=$O$65),$O$64,0)</f>
        <v>0</v>
      </c>
      <c r="AH52" s="228">
        <f>IF(SUM($AA$17:$AA51)&gt;0,($O$62-SUM($AG$17:$AG51))*$E$65,0)</f>
        <v>0</v>
      </c>
      <c r="AI52" s="160">
        <f t="shared" si="47"/>
        <v>0</v>
      </c>
      <c r="AJ52" s="156">
        <f t="shared" si="48"/>
        <v>0</v>
      </c>
      <c r="AK52" s="158">
        <f>(SUM($P$31,$P$51)-SUM($AU$17:AU51))*$O$109</f>
        <v>3.2969182939268646E-15</v>
      </c>
      <c r="AL52" s="163"/>
      <c r="AM52" s="157">
        <f t="shared" si="49"/>
        <v>0</v>
      </c>
      <c r="AN52" s="164"/>
      <c r="AO52" s="155">
        <f t="shared" si="8"/>
        <v>0</v>
      </c>
      <c r="AP52" s="156">
        <f t="shared" si="9"/>
        <v>0</v>
      </c>
      <c r="AQ52" s="156">
        <f t="shared" si="10"/>
        <v>0</v>
      </c>
      <c r="AR52" s="159">
        <f t="shared" si="50"/>
        <v>0</v>
      </c>
      <c r="AS52" s="160">
        <f t="shared" si="51"/>
        <v>0</v>
      </c>
      <c r="AT52" s="159">
        <f t="shared" si="52"/>
        <v>0</v>
      </c>
      <c r="AU52" s="159">
        <f t="shared" si="13"/>
        <v>0</v>
      </c>
      <c r="AV52" s="159">
        <f t="shared" si="14"/>
        <v>0</v>
      </c>
      <c r="AW52" s="159">
        <f t="shared" si="53"/>
        <v>0</v>
      </c>
      <c r="AX52" s="278">
        <f t="shared" si="31"/>
        <v>0</v>
      </c>
      <c r="AY52" s="279">
        <f t="shared" si="15"/>
        <v>0</v>
      </c>
      <c r="AZ52" s="278">
        <f>IF(AND(SUM($AQ$16:AQ51)&gt;0,SUM($AZ$16:AZ51)&lt;$P$62,$W52&gt;=$P$65),$P$64,0)</f>
        <v>0</v>
      </c>
      <c r="BA52" s="159">
        <f>IF(SUM($AQ$17:$AQ51)&gt;0,($P$62-SUM($AZ$17:$AZ51))*$F$65,0)</f>
        <v>0</v>
      </c>
      <c r="BB52" s="160">
        <f t="shared" si="54"/>
        <v>0</v>
      </c>
      <c r="BC52" s="156">
        <f t="shared" si="55"/>
        <v>0</v>
      </c>
      <c r="BD52" s="157">
        <f t="shared" si="56"/>
        <v>0</v>
      </c>
      <c r="BE52" s="49"/>
      <c r="BF52" s="47">
        <f t="shared" si="34"/>
        <v>0.29491861108817846</v>
      </c>
      <c r="BH52" s="155">
        <f t="shared" si="57"/>
        <v>0</v>
      </c>
      <c r="BI52" s="155">
        <f t="shared" si="58"/>
        <v>0</v>
      </c>
      <c r="BJ52" s="156">
        <f t="shared" si="59"/>
        <v>0</v>
      </c>
      <c r="BK52" s="156">
        <f t="shared" si="60"/>
        <v>0</v>
      </c>
      <c r="BL52" s="156">
        <f t="shared" si="61"/>
        <v>0</v>
      </c>
      <c r="BM52" s="159">
        <f t="shared" si="62"/>
        <v>0</v>
      </c>
      <c r="BN52" s="160">
        <f t="shared" si="63"/>
        <v>0</v>
      </c>
      <c r="BO52" s="156">
        <f t="shared" si="18"/>
        <v>0</v>
      </c>
      <c r="BP52" s="156">
        <f t="shared" si="64"/>
        <v>0</v>
      </c>
      <c r="BQ52" s="280">
        <f t="shared" si="20"/>
        <v>0</v>
      </c>
      <c r="BR52" s="156">
        <f t="shared" si="65"/>
        <v>0</v>
      </c>
      <c r="BS52" s="228">
        <f t="shared" si="41"/>
        <v>0</v>
      </c>
      <c r="BT52" s="156" cm="1">
        <f t="array" ref="BT52">IF($W52&lt;=$O$16,_xlfn.IFS(W52&lt;$F$16,$P$92,W52=$F$16,$P$93,W52&gt;$F$16,$P$94),0)</f>
        <v>0</v>
      </c>
      <c r="BU52" s="160">
        <f t="shared" si="66"/>
        <v>0</v>
      </c>
      <c r="BV52" s="160">
        <f t="shared" si="67"/>
        <v>0</v>
      </c>
      <c r="BW52" s="153"/>
      <c r="BX52" s="169">
        <f t="shared" si="23"/>
        <v>0</v>
      </c>
      <c r="BY52" s="286">
        <f t="shared" si="43"/>
        <v>0</v>
      </c>
    </row>
    <row r="53" spans="1:77" ht="15.75" customHeight="1" thickBot="1">
      <c r="M53" t="s">
        <v>170</v>
      </c>
      <c r="N53" s="19" t="s">
        <v>8</v>
      </c>
      <c r="O53" s="129"/>
      <c r="P53" s="222">
        <f>P94</f>
        <v>33.78</v>
      </c>
      <c r="V53" s="58">
        <f t="shared" si="44"/>
        <v>58896</v>
      </c>
      <c r="W53" s="26">
        <v>37</v>
      </c>
      <c r="X53" s="282" t="str">
        <f t="shared" si="25"/>
        <v>-</v>
      </c>
      <c r="Y53" s="161">
        <f t="shared" si="0"/>
        <v>0</v>
      </c>
      <c r="Z53" s="159">
        <f t="shared" si="1"/>
        <v>0</v>
      </c>
      <c r="AA53" s="159">
        <f t="shared" si="2"/>
        <v>0</v>
      </c>
      <c r="AB53" s="159">
        <f t="shared" si="45"/>
        <v>0</v>
      </c>
      <c r="AC53" s="160">
        <f t="shared" si="46"/>
        <v>0</v>
      </c>
      <c r="AD53" s="161">
        <f t="shared" si="4"/>
        <v>0</v>
      </c>
      <c r="AE53" s="159">
        <f t="shared" si="5"/>
        <v>0</v>
      </c>
      <c r="AF53" s="159">
        <f t="shared" si="27"/>
        <v>0</v>
      </c>
      <c r="AG53" s="277">
        <f>IF(AND(SUM($AA$16:AA52)&gt;0,SUM($AG$16:AG52)&lt;$O$62,$W53&gt;=$O$65),$O$64,0)</f>
        <v>0</v>
      </c>
      <c r="AH53" s="228">
        <f>IF(SUM($AA$17:$AA52)&gt;0,($O$62-SUM($AG$17:$AG52))*$E$65,0)</f>
        <v>0</v>
      </c>
      <c r="AI53" s="160">
        <f t="shared" si="47"/>
        <v>0</v>
      </c>
      <c r="AJ53" s="156">
        <f t="shared" si="48"/>
        <v>0</v>
      </c>
      <c r="AK53" s="158">
        <f>(SUM($P$31,$P$51)-SUM($AU$17:AU52))*$O$109</f>
        <v>3.2969182939268646E-15</v>
      </c>
      <c r="AL53" s="163"/>
      <c r="AM53" s="157">
        <f t="shared" si="49"/>
        <v>0</v>
      </c>
      <c r="AN53" s="164"/>
      <c r="AO53" s="155">
        <f t="shared" si="8"/>
        <v>0</v>
      </c>
      <c r="AP53" s="156">
        <f t="shared" si="9"/>
        <v>0</v>
      </c>
      <c r="AQ53" s="156">
        <f t="shared" si="10"/>
        <v>0</v>
      </c>
      <c r="AR53" s="159">
        <f t="shared" si="50"/>
        <v>0</v>
      </c>
      <c r="AS53" s="160">
        <f t="shared" si="51"/>
        <v>0</v>
      </c>
      <c r="AT53" s="159">
        <f t="shared" si="52"/>
        <v>0</v>
      </c>
      <c r="AU53" s="159">
        <f t="shared" si="13"/>
        <v>0</v>
      </c>
      <c r="AV53" s="159">
        <f t="shared" si="14"/>
        <v>0</v>
      </c>
      <c r="AW53" s="159">
        <f t="shared" si="53"/>
        <v>0</v>
      </c>
      <c r="AX53" s="278">
        <f t="shared" si="31"/>
        <v>0</v>
      </c>
      <c r="AY53" s="279">
        <f t="shared" si="15"/>
        <v>0</v>
      </c>
      <c r="AZ53" s="278">
        <f>IF(AND(SUM($AQ$16:AQ52)&gt;0,SUM($AZ$16:AZ52)&lt;$P$62,$W53&gt;=$P$65),$P$64,0)</f>
        <v>0</v>
      </c>
      <c r="BA53" s="159">
        <f>IF(SUM($AQ$17:$AQ52)&gt;0,($P$62-SUM($AZ$17:$AZ52))*$F$65,0)</f>
        <v>0</v>
      </c>
      <c r="BB53" s="160">
        <f t="shared" si="54"/>
        <v>0</v>
      </c>
      <c r="BC53" s="156">
        <f t="shared" si="55"/>
        <v>0</v>
      </c>
      <c r="BD53" s="157">
        <f t="shared" si="56"/>
        <v>0</v>
      </c>
      <c r="BE53" s="49"/>
      <c r="BF53" s="47">
        <f t="shared" si="34"/>
        <v>0.28508323933125035</v>
      </c>
      <c r="BH53" s="155">
        <f t="shared" si="57"/>
        <v>0</v>
      </c>
      <c r="BI53" s="155">
        <f t="shared" si="58"/>
        <v>0</v>
      </c>
      <c r="BJ53" s="156">
        <f t="shared" si="59"/>
        <v>0</v>
      </c>
      <c r="BK53" s="156">
        <f t="shared" si="60"/>
        <v>0</v>
      </c>
      <c r="BL53" s="156">
        <f t="shared" si="61"/>
        <v>0</v>
      </c>
      <c r="BM53" s="159">
        <f t="shared" si="62"/>
        <v>0</v>
      </c>
      <c r="BN53" s="160">
        <f t="shared" si="63"/>
        <v>0</v>
      </c>
      <c r="BO53" s="156">
        <f t="shared" si="18"/>
        <v>0</v>
      </c>
      <c r="BP53" s="156">
        <f t="shared" si="64"/>
        <v>0</v>
      </c>
      <c r="BQ53" s="280">
        <f t="shared" si="20"/>
        <v>0</v>
      </c>
      <c r="BR53" s="156">
        <f t="shared" si="65"/>
        <v>0</v>
      </c>
      <c r="BS53" s="228">
        <f t="shared" si="41"/>
        <v>0</v>
      </c>
      <c r="BT53" s="156" cm="1">
        <f t="array" ref="BT53">IF($W53&lt;=$O$16,_xlfn.IFS(W53&lt;$F$16,$P$92,W53=$F$16,$P$93,W53&gt;$F$16,$P$94),0)</f>
        <v>0</v>
      </c>
      <c r="BU53" s="160">
        <f t="shared" si="66"/>
        <v>0</v>
      </c>
      <c r="BV53" s="160">
        <f t="shared" si="67"/>
        <v>0</v>
      </c>
      <c r="BW53" s="153"/>
      <c r="BX53" s="169">
        <f t="shared" si="23"/>
        <v>0</v>
      </c>
      <c r="BY53" s="286">
        <f t="shared" si="43"/>
        <v>0</v>
      </c>
    </row>
    <row r="54" spans="1:77" ht="15.75" customHeight="1" thickBot="1">
      <c r="A54" s="4" t="s">
        <v>119</v>
      </c>
      <c r="K54" s="124" t="s">
        <v>177</v>
      </c>
      <c r="L54" s="125"/>
      <c r="M54" s="125"/>
      <c r="N54" s="126" t="s">
        <v>8</v>
      </c>
      <c r="O54" s="127"/>
      <c r="P54" s="128">
        <f>SUM(P52:P53)*$F$47</f>
        <v>45.78</v>
      </c>
      <c r="Q54" t="s">
        <v>167</v>
      </c>
      <c r="V54" s="58">
        <f t="shared" si="44"/>
        <v>59261</v>
      </c>
      <c r="W54" s="26">
        <v>38</v>
      </c>
      <c r="X54" s="282" t="str">
        <f t="shared" si="25"/>
        <v>-</v>
      </c>
      <c r="Y54" s="161">
        <f t="shared" si="0"/>
        <v>0</v>
      </c>
      <c r="Z54" s="159">
        <f t="shared" si="1"/>
        <v>0</v>
      </c>
      <c r="AA54" s="159">
        <f t="shared" si="2"/>
        <v>0</v>
      </c>
      <c r="AB54" s="159">
        <f t="shared" si="45"/>
        <v>0</v>
      </c>
      <c r="AC54" s="160">
        <f t="shared" si="46"/>
        <v>0</v>
      </c>
      <c r="AD54" s="161">
        <f t="shared" si="4"/>
        <v>0</v>
      </c>
      <c r="AE54" s="159">
        <f t="shared" si="5"/>
        <v>0</v>
      </c>
      <c r="AF54" s="159">
        <f t="shared" si="27"/>
        <v>0</v>
      </c>
      <c r="AG54" s="277">
        <f>IF(AND(SUM($AA$16:AA53)&gt;0,SUM($AG$16:AG53)&lt;$O$62,$W54&gt;=$O$65),$O$64,0)</f>
        <v>0</v>
      </c>
      <c r="AH54" s="228">
        <f>IF(SUM($AA$17:$AA53)&gt;0,($O$62-SUM($AG$17:$AG53))*$E$65,0)</f>
        <v>0</v>
      </c>
      <c r="AI54" s="160">
        <f t="shared" si="47"/>
        <v>0</v>
      </c>
      <c r="AJ54" s="156">
        <f t="shared" si="48"/>
        <v>0</v>
      </c>
      <c r="AK54" s="158">
        <f>(SUM($P$31,$P$51)-SUM($AU$17:AU53))*$O$109</f>
        <v>3.2969182939268646E-15</v>
      </c>
      <c r="AL54" s="163"/>
      <c r="AM54" s="157">
        <f t="shared" si="49"/>
        <v>0</v>
      </c>
      <c r="AN54" s="164"/>
      <c r="AO54" s="155">
        <f t="shared" si="8"/>
        <v>0</v>
      </c>
      <c r="AP54" s="156">
        <f t="shared" si="9"/>
        <v>0</v>
      </c>
      <c r="AQ54" s="156">
        <f t="shared" si="10"/>
        <v>0</v>
      </c>
      <c r="AR54" s="159">
        <f t="shared" si="50"/>
        <v>0</v>
      </c>
      <c r="AS54" s="160">
        <f t="shared" si="51"/>
        <v>0</v>
      </c>
      <c r="AT54" s="159">
        <f t="shared" si="52"/>
        <v>0</v>
      </c>
      <c r="AU54" s="159">
        <f t="shared" si="13"/>
        <v>0</v>
      </c>
      <c r="AV54" s="159">
        <f t="shared" si="14"/>
        <v>0</v>
      </c>
      <c r="AW54" s="159">
        <f t="shared" si="53"/>
        <v>0</v>
      </c>
      <c r="AX54" s="278">
        <f t="shared" si="31"/>
        <v>0</v>
      </c>
      <c r="AY54" s="279">
        <f t="shared" si="15"/>
        <v>0</v>
      </c>
      <c r="AZ54" s="278">
        <f>IF(AND(SUM($AQ$16:AQ53)&gt;0,SUM($AZ$16:AZ53)&lt;$P$62,$W54&gt;=$P$65),$P$64,0)</f>
        <v>0</v>
      </c>
      <c r="BA54" s="159">
        <f>IF(SUM($AQ$17:$AQ53)&gt;0,($P$62-SUM($AZ$17:$AZ53))*$F$65,0)</f>
        <v>0</v>
      </c>
      <c r="BB54" s="160">
        <f t="shared" si="54"/>
        <v>0</v>
      </c>
      <c r="BC54" s="156">
        <f t="shared" si="55"/>
        <v>0</v>
      </c>
      <c r="BD54" s="157">
        <f t="shared" si="56"/>
        <v>0</v>
      </c>
      <c r="BE54" s="49"/>
      <c r="BF54" s="47">
        <f t="shared" si="34"/>
        <v>0.27557587175567944</v>
      </c>
      <c r="BH54" s="155">
        <f t="shared" si="57"/>
        <v>0</v>
      </c>
      <c r="BI54" s="155">
        <f t="shared" si="58"/>
        <v>0</v>
      </c>
      <c r="BJ54" s="156">
        <f t="shared" si="59"/>
        <v>0</v>
      </c>
      <c r="BK54" s="156">
        <f t="shared" si="60"/>
        <v>0</v>
      </c>
      <c r="BL54" s="156">
        <f t="shared" si="61"/>
        <v>0</v>
      </c>
      <c r="BM54" s="159">
        <f t="shared" si="62"/>
        <v>0</v>
      </c>
      <c r="BN54" s="160">
        <f t="shared" si="63"/>
        <v>0</v>
      </c>
      <c r="BO54" s="156">
        <f t="shared" si="18"/>
        <v>0</v>
      </c>
      <c r="BP54" s="156">
        <f t="shared" si="64"/>
        <v>0</v>
      </c>
      <c r="BQ54" s="280">
        <f t="shared" si="20"/>
        <v>0</v>
      </c>
      <c r="BR54" s="156">
        <f t="shared" si="65"/>
        <v>0</v>
      </c>
      <c r="BS54" s="228">
        <f t="shared" si="41"/>
        <v>0</v>
      </c>
      <c r="BT54" s="156" cm="1">
        <f t="array" ref="BT54">IF($W54&lt;=$O$16,_xlfn.IFS(W54&lt;$F$16,$P$92,W54=$F$16,$P$93,W54&gt;$F$16,$P$94),0)</f>
        <v>0</v>
      </c>
      <c r="BU54" s="160">
        <f t="shared" si="66"/>
        <v>0</v>
      </c>
      <c r="BV54" s="160">
        <f t="shared" si="67"/>
        <v>0</v>
      </c>
      <c r="BW54" s="153"/>
      <c r="BX54" s="169">
        <f t="shared" si="23"/>
        <v>0</v>
      </c>
      <c r="BY54" s="286">
        <f t="shared" si="43"/>
        <v>0</v>
      </c>
    </row>
    <row r="55" spans="1:77" ht="15.75" customHeight="1">
      <c r="V55" s="58">
        <f t="shared" si="44"/>
        <v>59626</v>
      </c>
      <c r="W55" s="26">
        <v>39</v>
      </c>
      <c r="X55" s="282" t="str">
        <f t="shared" si="25"/>
        <v>-</v>
      </c>
      <c r="Y55" s="161">
        <f t="shared" si="0"/>
        <v>0</v>
      </c>
      <c r="Z55" s="159">
        <f t="shared" si="1"/>
        <v>0</v>
      </c>
      <c r="AA55" s="159">
        <f t="shared" si="2"/>
        <v>0</v>
      </c>
      <c r="AB55" s="159">
        <f t="shared" si="45"/>
        <v>0</v>
      </c>
      <c r="AC55" s="160">
        <f t="shared" si="46"/>
        <v>0</v>
      </c>
      <c r="AD55" s="161">
        <f t="shared" si="4"/>
        <v>0</v>
      </c>
      <c r="AE55" s="159">
        <f t="shared" si="5"/>
        <v>0</v>
      </c>
      <c r="AF55" s="159">
        <f t="shared" si="27"/>
        <v>0</v>
      </c>
      <c r="AG55" s="277">
        <f>IF(AND(SUM($AA$16:AA54)&gt;0,SUM($AG$16:AG54)&lt;$O$62,$W55&gt;=$O$65),$O$64,0)</f>
        <v>0</v>
      </c>
      <c r="AH55" s="228">
        <f>IF(SUM($AA$17:$AA54)&gt;0,($O$62-SUM($AG$17:$AG54))*$E$65,0)</f>
        <v>0</v>
      </c>
      <c r="AI55" s="160">
        <f t="shared" si="47"/>
        <v>0</v>
      </c>
      <c r="AJ55" s="156">
        <f t="shared" si="48"/>
        <v>0</v>
      </c>
      <c r="AK55" s="158">
        <f>(SUM($P$31,$P$51)-SUM($AU$17:AU54))*$O$109</f>
        <v>3.2969182939268646E-15</v>
      </c>
      <c r="AL55" s="163"/>
      <c r="AM55" s="157">
        <f t="shared" si="49"/>
        <v>0</v>
      </c>
      <c r="AN55" s="164"/>
      <c r="AO55" s="155">
        <f t="shared" si="8"/>
        <v>0</v>
      </c>
      <c r="AP55" s="156">
        <f t="shared" si="9"/>
        <v>0</v>
      </c>
      <c r="AQ55" s="156">
        <f t="shared" si="10"/>
        <v>0</v>
      </c>
      <c r="AR55" s="159">
        <f t="shared" si="50"/>
        <v>0</v>
      </c>
      <c r="AS55" s="160">
        <f t="shared" si="51"/>
        <v>0</v>
      </c>
      <c r="AT55" s="159">
        <f t="shared" si="52"/>
        <v>0</v>
      </c>
      <c r="AU55" s="159">
        <f t="shared" si="13"/>
        <v>0</v>
      </c>
      <c r="AV55" s="159">
        <f t="shared" si="14"/>
        <v>0</v>
      </c>
      <c r="AW55" s="159">
        <f t="shared" si="53"/>
        <v>0</v>
      </c>
      <c r="AX55" s="278">
        <f t="shared" si="31"/>
        <v>0</v>
      </c>
      <c r="AY55" s="279">
        <f t="shared" si="15"/>
        <v>0</v>
      </c>
      <c r="AZ55" s="278">
        <f>IF(AND(SUM($AQ$16:AQ54)&gt;0,SUM($AZ$16:AZ54)&lt;$P$62,$W55&gt;=$P$65),$P$64,0)</f>
        <v>0</v>
      </c>
      <c r="BA55" s="159">
        <f>IF(SUM($AQ$17:$AQ54)&gt;0,($P$62-SUM($AZ$17:$AZ54))*$F$65,0)</f>
        <v>0</v>
      </c>
      <c r="BB55" s="160">
        <f t="shared" si="54"/>
        <v>0</v>
      </c>
      <c r="BC55" s="156">
        <f t="shared" si="55"/>
        <v>0</v>
      </c>
      <c r="BD55" s="157">
        <f t="shared" si="56"/>
        <v>0</v>
      </c>
      <c r="BE55" s="49"/>
      <c r="BF55" s="47">
        <f t="shared" si="34"/>
        <v>0.26638556960433007</v>
      </c>
      <c r="BH55" s="155">
        <f t="shared" si="57"/>
        <v>0</v>
      </c>
      <c r="BI55" s="155">
        <f t="shared" si="58"/>
        <v>0</v>
      </c>
      <c r="BJ55" s="156">
        <f t="shared" si="59"/>
        <v>0</v>
      </c>
      <c r="BK55" s="156">
        <f t="shared" si="60"/>
        <v>0</v>
      </c>
      <c r="BL55" s="156">
        <f t="shared" si="61"/>
        <v>0</v>
      </c>
      <c r="BM55" s="159">
        <f t="shared" si="62"/>
        <v>0</v>
      </c>
      <c r="BN55" s="160">
        <f t="shared" si="63"/>
        <v>0</v>
      </c>
      <c r="BO55" s="156">
        <f t="shared" si="18"/>
        <v>0</v>
      </c>
      <c r="BP55" s="156">
        <f t="shared" si="64"/>
        <v>0</v>
      </c>
      <c r="BQ55" s="280">
        <f t="shared" si="20"/>
        <v>0</v>
      </c>
      <c r="BR55" s="156">
        <f t="shared" si="65"/>
        <v>0</v>
      </c>
      <c r="BS55" s="228">
        <f t="shared" si="41"/>
        <v>0</v>
      </c>
      <c r="BT55" s="156" cm="1">
        <f t="array" ref="BT55">IF($W55&lt;=$O$16,_xlfn.IFS(W55&lt;$F$16,$P$92,W55=$F$16,$P$93,W55&gt;$F$16,$P$94),0)</f>
        <v>0</v>
      </c>
      <c r="BU55" s="160">
        <f t="shared" si="66"/>
        <v>0</v>
      </c>
      <c r="BV55" s="160">
        <f t="shared" si="67"/>
        <v>0</v>
      </c>
      <c r="BW55" s="153"/>
      <c r="BX55" s="169">
        <f t="shared" si="23"/>
        <v>0</v>
      </c>
      <c r="BY55" s="286">
        <f t="shared" si="43"/>
        <v>0</v>
      </c>
    </row>
    <row r="56" spans="1:77" ht="15.75" customHeight="1">
      <c r="C56" s="56" t="s">
        <v>77</v>
      </c>
      <c r="D56" t="s">
        <v>8</v>
      </c>
      <c r="F56" s="1">
        <v>0</v>
      </c>
      <c r="V56" s="58">
        <f t="shared" si="44"/>
        <v>59992</v>
      </c>
      <c r="W56" s="26">
        <v>40</v>
      </c>
      <c r="X56" s="282" t="str">
        <f t="shared" si="25"/>
        <v>-</v>
      </c>
      <c r="Y56" s="161">
        <f t="shared" si="0"/>
        <v>0</v>
      </c>
      <c r="Z56" s="159">
        <f t="shared" si="1"/>
        <v>0</v>
      </c>
      <c r="AA56" s="159">
        <f t="shared" si="2"/>
        <v>0</v>
      </c>
      <c r="AB56" s="159">
        <f t="shared" si="45"/>
        <v>0</v>
      </c>
      <c r="AC56" s="160">
        <f t="shared" si="46"/>
        <v>0</v>
      </c>
      <c r="AD56" s="161">
        <f t="shared" si="4"/>
        <v>0</v>
      </c>
      <c r="AE56" s="159">
        <f t="shared" si="5"/>
        <v>0</v>
      </c>
      <c r="AF56" s="159">
        <f t="shared" si="27"/>
        <v>0</v>
      </c>
      <c r="AG56" s="277">
        <f>IF(AND(SUM($AA$16:AA55)&gt;0,SUM($AG$16:AG55)&lt;$O$62,$W56&gt;=$O$65),$O$64,0)</f>
        <v>0</v>
      </c>
      <c r="AH56" s="228">
        <f>IF(SUM($AA$17:$AA55)&gt;0,($O$62-SUM($AG$17:$AG55))*$E$65,0)</f>
        <v>0</v>
      </c>
      <c r="AI56" s="160">
        <f t="shared" si="47"/>
        <v>0</v>
      </c>
      <c r="AJ56" s="156">
        <f t="shared" si="48"/>
        <v>0</v>
      </c>
      <c r="AK56" s="158">
        <f>(SUM($P$31,$P$51)-SUM($AU$17:AU55))*$O$109</f>
        <v>3.2969182939268646E-15</v>
      </c>
      <c r="AL56" s="163"/>
      <c r="AM56" s="157">
        <f t="shared" si="49"/>
        <v>0</v>
      </c>
      <c r="AN56" s="164"/>
      <c r="AO56" s="155">
        <f t="shared" si="8"/>
        <v>0</v>
      </c>
      <c r="AP56" s="156">
        <f t="shared" si="9"/>
        <v>0</v>
      </c>
      <c r="AQ56" s="156">
        <f t="shared" si="10"/>
        <v>0</v>
      </c>
      <c r="AR56" s="159">
        <f t="shared" si="50"/>
        <v>0</v>
      </c>
      <c r="AS56" s="160">
        <f t="shared" si="51"/>
        <v>0</v>
      </c>
      <c r="AT56" s="159">
        <f t="shared" si="52"/>
        <v>0</v>
      </c>
      <c r="AU56" s="159">
        <f t="shared" si="13"/>
        <v>0</v>
      </c>
      <c r="AV56" s="159">
        <f t="shared" si="14"/>
        <v>0</v>
      </c>
      <c r="AW56" s="159">
        <f t="shared" si="53"/>
        <v>0</v>
      </c>
      <c r="AX56" s="278">
        <f t="shared" si="31"/>
        <v>0</v>
      </c>
      <c r="AY56" s="279">
        <f t="shared" si="15"/>
        <v>0</v>
      </c>
      <c r="AZ56" s="278">
        <f>IF(AND(SUM($AQ$16:AQ55)&gt;0,SUM($AZ$16:AZ55)&lt;$P$62,$W56&gt;=$P$65),$P$64,0)</f>
        <v>0</v>
      </c>
      <c r="BA56" s="159">
        <f>IF(SUM($AQ$17:$AQ55)&gt;0,($P$62-SUM($AZ$17:$AZ55))*$F$65,0)</f>
        <v>0</v>
      </c>
      <c r="BB56" s="160">
        <f t="shared" si="54"/>
        <v>0</v>
      </c>
      <c r="BC56" s="156">
        <f t="shared" si="55"/>
        <v>0</v>
      </c>
      <c r="BD56" s="157">
        <f t="shared" si="56"/>
        <v>0</v>
      </c>
      <c r="BE56" s="49"/>
      <c r="BF56" s="47">
        <f t="shared" si="34"/>
        <v>0.25750175892153704</v>
      </c>
      <c r="BH56" s="155">
        <f t="shared" si="57"/>
        <v>0</v>
      </c>
      <c r="BI56" s="155">
        <f t="shared" si="58"/>
        <v>0</v>
      </c>
      <c r="BJ56" s="156">
        <f t="shared" si="59"/>
        <v>0</v>
      </c>
      <c r="BK56" s="156">
        <f t="shared" si="60"/>
        <v>0</v>
      </c>
      <c r="BL56" s="156">
        <f t="shared" si="61"/>
        <v>0</v>
      </c>
      <c r="BM56" s="159">
        <f t="shared" si="62"/>
        <v>0</v>
      </c>
      <c r="BN56" s="160">
        <f t="shared" si="63"/>
        <v>0</v>
      </c>
      <c r="BO56" s="156">
        <f t="shared" si="18"/>
        <v>0</v>
      </c>
      <c r="BP56" s="156">
        <f t="shared" si="64"/>
        <v>0</v>
      </c>
      <c r="BQ56" s="280">
        <f t="shared" si="20"/>
        <v>0</v>
      </c>
      <c r="BR56" s="156">
        <f t="shared" si="65"/>
        <v>0</v>
      </c>
      <c r="BS56" s="228">
        <f t="shared" si="41"/>
        <v>0</v>
      </c>
      <c r="BT56" s="156" cm="1">
        <f t="array" ref="BT56">IF($W56&lt;=$O$16,_xlfn.IFS(W56&lt;$F$16,$P$92,W56=$F$16,$P$93,W56&gt;$F$16,$P$94),0)</f>
        <v>0</v>
      </c>
      <c r="BU56" s="160">
        <f t="shared" si="66"/>
        <v>0</v>
      </c>
      <c r="BV56" s="160">
        <f t="shared" si="67"/>
        <v>0</v>
      </c>
      <c r="BW56" s="153"/>
      <c r="BX56" s="169">
        <f t="shared" si="23"/>
        <v>0</v>
      </c>
      <c r="BY56" s="286">
        <f t="shared" si="43"/>
        <v>0</v>
      </c>
    </row>
    <row r="57" spans="1:77" ht="15.75" customHeight="1" thickBot="1">
      <c r="Y57" s="165"/>
      <c r="Z57" s="165"/>
      <c r="AA57" s="153"/>
      <c r="AB57" s="153"/>
      <c r="AC57" s="153"/>
      <c r="AD57" s="153"/>
      <c r="AE57" s="153"/>
      <c r="AF57" s="153"/>
      <c r="AG57" s="159"/>
      <c r="AH57" s="159"/>
      <c r="AI57" s="153"/>
      <c r="AJ57" s="153"/>
      <c r="AK57" s="166"/>
      <c r="AL57" s="166"/>
      <c r="AM57" s="166"/>
      <c r="AN57" s="166"/>
      <c r="AO57" s="166"/>
      <c r="AP57" s="153"/>
      <c r="AQ57" s="153"/>
      <c r="AR57" s="153"/>
      <c r="AS57" s="153"/>
      <c r="AT57" s="153"/>
      <c r="AU57" s="153"/>
      <c r="AV57" s="153"/>
      <c r="AW57" s="153"/>
      <c r="AX57" s="153"/>
      <c r="AY57" s="153"/>
      <c r="AZ57" s="153"/>
      <c r="BA57" s="153"/>
      <c r="BB57" s="153"/>
      <c r="BC57" s="153"/>
      <c r="BD57" s="153"/>
      <c r="BH57" s="153"/>
      <c r="BI57" s="153"/>
      <c r="BJ57" s="153"/>
      <c r="BK57" s="153"/>
      <c r="BL57" s="153"/>
      <c r="BM57" s="153"/>
      <c r="BN57" s="153"/>
      <c r="BO57" s="153"/>
      <c r="BP57" s="153"/>
      <c r="BQ57" s="153"/>
      <c r="BR57" s="153"/>
      <c r="BS57" s="153"/>
      <c r="BT57" s="153"/>
      <c r="BU57" s="153"/>
      <c r="BV57" s="153"/>
      <c r="BW57" s="153"/>
      <c r="BX57" s="153"/>
    </row>
    <row r="58" spans="1:77" ht="15.75" customHeight="1" thickTop="1">
      <c r="A58" s="4" t="s">
        <v>120</v>
      </c>
      <c r="E58" t="s">
        <v>0</v>
      </c>
      <c r="F58" t="s">
        <v>1</v>
      </c>
      <c r="J58" s="4" t="s">
        <v>120</v>
      </c>
      <c r="X58" s="145" t="s">
        <v>97</v>
      </c>
      <c r="Y58" s="240">
        <f>SUM(Y16:Y56)</f>
        <v>1140</v>
      </c>
      <c r="Z58" s="240">
        <f t="shared" ref="Z58:AK58" si="68">SUM(Z16:Z56)</f>
        <v>384.75</v>
      </c>
      <c r="AA58" s="240">
        <f t="shared" si="68"/>
        <v>1282.5</v>
      </c>
      <c r="AB58" s="240">
        <f t="shared" si="68"/>
        <v>0</v>
      </c>
      <c r="AC58" s="240">
        <f t="shared" si="68"/>
        <v>1524.75</v>
      </c>
      <c r="AD58" s="240">
        <f t="shared" si="68"/>
        <v>2850</v>
      </c>
      <c r="AE58" s="240">
        <f t="shared" si="68"/>
        <v>1000</v>
      </c>
      <c r="AF58" s="240">
        <f t="shared" si="68"/>
        <v>230</v>
      </c>
      <c r="AG58" s="240">
        <f t="shared" si="68"/>
        <v>1282.5</v>
      </c>
      <c r="AH58" s="240">
        <f t="shared" si="68"/>
        <v>259.70625000000001</v>
      </c>
      <c r="AI58" s="240">
        <f t="shared" si="68"/>
        <v>4080</v>
      </c>
      <c r="AJ58" s="241">
        <f t="shared" si="68"/>
        <v>-2555.25</v>
      </c>
      <c r="AK58" s="241">
        <f t="shared" si="68"/>
        <v>246.17346740250522</v>
      </c>
      <c r="AL58" s="240">
        <f>SUM(AJ58,AL16)</f>
        <v>-3377.4234674025051</v>
      </c>
      <c r="AM58" s="241">
        <f>SUM(AM16:AM56)</f>
        <v>-2820.988750492751</v>
      </c>
      <c r="AN58" s="166"/>
      <c r="AO58" s="240">
        <f t="shared" ref="AO58:BD58" si="69">SUM(AO16:AO56)</f>
        <v>960</v>
      </c>
      <c r="AP58" s="240">
        <f t="shared" si="69"/>
        <v>54</v>
      </c>
      <c r="AQ58" s="240">
        <f t="shared" si="69"/>
        <v>180</v>
      </c>
      <c r="AR58" s="240">
        <f t="shared" si="69"/>
        <v>33.6</v>
      </c>
      <c r="AS58" s="240">
        <f t="shared" si="69"/>
        <v>1047.5999999999999</v>
      </c>
      <c r="AT58" s="240">
        <f t="shared" si="69"/>
        <v>1200</v>
      </c>
      <c r="AU58" s="240">
        <f t="shared" si="69"/>
        <v>1441.7799999999997</v>
      </c>
      <c r="AV58" s="240">
        <f t="shared" si="69"/>
        <v>670.61048016544521</v>
      </c>
      <c r="AW58" s="240">
        <f t="shared" si="69"/>
        <v>800</v>
      </c>
      <c r="AX58" s="240">
        <f t="shared" si="69"/>
        <v>163</v>
      </c>
      <c r="AY58" s="240">
        <f t="shared" si="69"/>
        <v>915.59999999999968</v>
      </c>
      <c r="AZ58" s="240">
        <f t="shared" si="69"/>
        <v>180</v>
      </c>
      <c r="BA58" s="240">
        <f t="shared" si="69"/>
        <v>36.449999999999996</v>
      </c>
      <c r="BB58" s="240">
        <f t="shared" si="69"/>
        <v>5190.9904801654448</v>
      </c>
      <c r="BC58" s="241">
        <f t="shared" si="69"/>
        <v>-4143.3904801654453</v>
      </c>
      <c r="BD58" s="241">
        <f t="shared" si="69"/>
        <v>-2724.2413810599078</v>
      </c>
      <c r="BH58" s="233">
        <f t="shared" ref="BH58:BV58" si="70">SUM(BH16:BH56)</f>
        <v>1200</v>
      </c>
      <c r="BI58" s="233">
        <f t="shared" si="70"/>
        <v>1441.7799999999997</v>
      </c>
      <c r="BJ58" s="233">
        <f t="shared" si="70"/>
        <v>670.61048016544521</v>
      </c>
      <c r="BK58" s="233">
        <f t="shared" si="70"/>
        <v>800</v>
      </c>
      <c r="BL58" s="233">
        <f t="shared" si="70"/>
        <v>915.59999999999968</v>
      </c>
      <c r="BM58" s="233">
        <f t="shared" si="70"/>
        <v>0</v>
      </c>
      <c r="BN58" s="233">
        <f t="shared" si="70"/>
        <v>5027.9904801654448</v>
      </c>
      <c r="BO58" s="233">
        <f t="shared" si="70"/>
        <v>2400</v>
      </c>
      <c r="BP58" s="233">
        <f t="shared" si="70"/>
        <v>800</v>
      </c>
      <c r="BQ58" s="233">
        <f t="shared" si="70"/>
        <v>487.47650247528355</v>
      </c>
      <c r="BR58" s="233">
        <f t="shared" si="70"/>
        <v>276</v>
      </c>
      <c r="BS58" s="233">
        <f t="shared" si="70"/>
        <v>200</v>
      </c>
      <c r="BT58" s="233">
        <f t="shared" si="70"/>
        <v>781.73999999999967</v>
      </c>
      <c r="BU58" s="233">
        <f t="shared" si="70"/>
        <v>4457.7400000000025</v>
      </c>
      <c r="BV58" s="233">
        <f t="shared" si="70"/>
        <v>570.25048016544486</v>
      </c>
      <c r="BW58" s="166"/>
      <c r="BX58" s="168">
        <f>SUM(BX16:BX56)</f>
        <v>1441.7799999999997</v>
      </c>
    </row>
    <row r="59" spans="1:77" ht="15.75" customHeight="1">
      <c r="B59" t="s">
        <v>132</v>
      </c>
      <c r="C59" t="s">
        <v>184</v>
      </c>
      <c r="D59" t="s">
        <v>8</v>
      </c>
      <c r="E59" s="21">
        <f>O62</f>
        <v>1282.5</v>
      </c>
      <c r="F59" s="21">
        <f>P62</f>
        <v>180</v>
      </c>
      <c r="J59" s="4" t="s">
        <v>132</v>
      </c>
      <c r="O59" t="s">
        <v>0</v>
      </c>
      <c r="P59" t="s">
        <v>1</v>
      </c>
      <c r="V59" s="19"/>
      <c r="AL59" s="31" t="s">
        <v>130</v>
      </c>
    </row>
    <row r="60" spans="1:77" ht="15.75" customHeight="1">
      <c r="C60" t="s">
        <v>105</v>
      </c>
      <c r="D60" t="s">
        <v>6</v>
      </c>
      <c r="E60" s="141">
        <v>0.4</v>
      </c>
      <c r="F60" s="141">
        <v>0.4</v>
      </c>
      <c r="K60" t="s">
        <v>73</v>
      </c>
      <c r="N60" s="19" t="s">
        <v>8</v>
      </c>
      <c r="O60" s="52">
        <f>O29</f>
        <v>2850</v>
      </c>
      <c r="P60" s="52">
        <f>P29</f>
        <v>2400</v>
      </c>
      <c r="V60" s="19"/>
      <c r="AK60" s="281"/>
      <c r="AL60" s="31" t="s">
        <v>131</v>
      </c>
      <c r="AM60" s="281"/>
      <c r="AN60" s="281"/>
      <c r="AO60" s="281"/>
      <c r="BF60" s="281"/>
    </row>
    <row r="61" spans="1:77">
      <c r="C61" t="s">
        <v>106</v>
      </c>
      <c r="D61" t="s">
        <v>6</v>
      </c>
      <c r="E61" s="3">
        <v>0.3</v>
      </c>
      <c r="F61" s="3">
        <v>0.3</v>
      </c>
      <c r="K61" t="s">
        <v>4</v>
      </c>
      <c r="N61" s="19" t="s">
        <v>8</v>
      </c>
      <c r="O61" s="52">
        <f>O60*$E$60</f>
        <v>1140</v>
      </c>
      <c r="P61" s="52">
        <f>P60*$F$60</f>
        <v>960</v>
      </c>
      <c r="V61" s="19"/>
      <c r="AK61" s="281"/>
      <c r="AL61" s="281"/>
      <c r="AM61" s="281"/>
      <c r="AN61" s="281"/>
      <c r="AO61" s="281"/>
      <c r="BF61" s="281"/>
    </row>
    <row r="62" spans="1:77" ht="15.75" customHeight="1">
      <c r="C62" s="275" t="s">
        <v>107</v>
      </c>
      <c r="D62" t="s">
        <v>6</v>
      </c>
      <c r="E62" s="3">
        <v>0.75</v>
      </c>
      <c r="F62" s="3">
        <v>0.75</v>
      </c>
      <c r="J62" s="4"/>
      <c r="K62" t="s">
        <v>24</v>
      </c>
      <c r="N62" s="19" t="s">
        <v>8</v>
      </c>
      <c r="O62" s="52">
        <f>(O60-O61)*$E$62</f>
        <v>1282.5</v>
      </c>
      <c r="P62" s="52">
        <f>(P30-P61)*$F$62</f>
        <v>180</v>
      </c>
      <c r="V62" s="19"/>
    </row>
    <row r="63" spans="1:77" ht="15.75" customHeight="1">
      <c r="C63" t="s">
        <v>256</v>
      </c>
      <c r="D63" t="s">
        <v>7</v>
      </c>
      <c r="E63" s="1">
        <v>3</v>
      </c>
      <c r="F63" s="1">
        <v>3</v>
      </c>
      <c r="K63" t="s">
        <v>23</v>
      </c>
      <c r="N63" s="19" t="s">
        <v>8</v>
      </c>
      <c r="O63" s="52">
        <f>O62*$E$61</f>
        <v>384.75</v>
      </c>
      <c r="P63" s="52">
        <f>P62*$F$61</f>
        <v>54</v>
      </c>
      <c r="V63" s="19"/>
    </row>
    <row r="64" spans="1:77" ht="15.75" customHeight="1">
      <c r="C64" s="56" t="s">
        <v>76</v>
      </c>
      <c r="D64" t="s">
        <v>7</v>
      </c>
      <c r="E64" s="1">
        <v>20</v>
      </c>
      <c r="F64" s="1">
        <v>20</v>
      </c>
      <c r="K64" t="s">
        <v>44</v>
      </c>
      <c r="N64" s="19" t="s">
        <v>8</v>
      </c>
      <c r="O64" s="52">
        <f>O62/$E$64</f>
        <v>64.125</v>
      </c>
      <c r="P64" s="52">
        <f>P62/$F$64</f>
        <v>9</v>
      </c>
      <c r="V64" s="19"/>
    </row>
    <row r="65" spans="1:23" ht="15.75" customHeight="1">
      <c r="C65" s="56" t="s">
        <v>109</v>
      </c>
      <c r="D65" t="s">
        <v>6</v>
      </c>
      <c r="E65" s="54">
        <v>1.4999999999999999E-2</v>
      </c>
      <c r="F65" s="54">
        <v>1.4999999999999999E-2</v>
      </c>
      <c r="K65" t="s">
        <v>259</v>
      </c>
      <c r="N65" s="19" t="s">
        <v>257</v>
      </c>
      <c r="O65" s="52">
        <f>$F$16+E63+1</f>
        <v>7</v>
      </c>
      <c r="P65" s="52">
        <f>$F$16+F63+1</f>
        <v>7</v>
      </c>
    </row>
    <row r="66" spans="1:23" ht="15.75" customHeight="1">
      <c r="B66" t="s">
        <v>133</v>
      </c>
      <c r="C66" s="19"/>
      <c r="J66" s="4" t="s">
        <v>133</v>
      </c>
      <c r="P66" t="s">
        <v>1</v>
      </c>
    </row>
    <row r="67" spans="1:23" ht="15.75" customHeight="1">
      <c r="E67" t="s">
        <v>0</v>
      </c>
      <c r="F67" t="s">
        <v>1</v>
      </c>
      <c r="K67" t="s">
        <v>18</v>
      </c>
      <c r="O67" s="19"/>
      <c r="P67" s="110">
        <f>SUM(F69:F70)</f>
        <v>2.9499999999999998E-2</v>
      </c>
    </row>
    <row r="68" spans="1:23" ht="15.75" customHeight="1">
      <c r="C68" t="s">
        <v>184</v>
      </c>
      <c r="D68" t="s">
        <v>8</v>
      </c>
      <c r="F68" s="21">
        <f>P31</f>
        <v>1200</v>
      </c>
    </row>
    <row r="69" spans="1:23" ht="15.75" customHeight="1">
      <c r="C69" t="s">
        <v>10</v>
      </c>
      <c r="D69" t="s">
        <v>6</v>
      </c>
      <c r="F69" s="294">
        <f>F35</f>
        <v>1.4500000000000001E-2</v>
      </c>
      <c r="H69" s="56" t="s">
        <v>276</v>
      </c>
    </row>
    <row r="70" spans="1:23" ht="15.75" customHeight="1">
      <c r="C70" t="s">
        <v>11</v>
      </c>
      <c r="D70" t="s">
        <v>6</v>
      </c>
      <c r="F70" s="16">
        <v>1.4999999999999999E-2</v>
      </c>
    </row>
    <row r="71" spans="1:23" ht="15.75" customHeight="1">
      <c r="C71" s="56" t="s">
        <v>110</v>
      </c>
      <c r="D71" t="s">
        <v>6</v>
      </c>
    </row>
    <row r="72" spans="1:23" ht="15.75" customHeight="1">
      <c r="A72" s="4" t="s">
        <v>112</v>
      </c>
      <c r="J72" s="4" t="s">
        <v>112</v>
      </c>
      <c r="O72" s="19"/>
      <c r="P72" s="19"/>
      <c r="R72" s="4" t="s">
        <v>147</v>
      </c>
      <c r="S72" s="4"/>
      <c r="T72" s="4"/>
    </row>
    <row r="73" spans="1:23" ht="15.75" customHeight="1">
      <c r="C73" t="s">
        <v>127</v>
      </c>
      <c r="O73" s="19"/>
      <c r="P73" s="5" t="s">
        <v>127</v>
      </c>
      <c r="U73" s="4" t="s">
        <v>139</v>
      </c>
    </row>
    <row r="74" spans="1:23" ht="15.75" customHeight="1">
      <c r="C74" s="2" t="s">
        <v>185</v>
      </c>
      <c r="D74" t="s">
        <v>8</v>
      </c>
      <c r="F74" s="269">
        <v>0</v>
      </c>
      <c r="H74" t="s">
        <v>187</v>
      </c>
      <c r="N74" t="s">
        <v>128</v>
      </c>
      <c r="P74" s="20">
        <f>F74</f>
        <v>0</v>
      </c>
      <c r="S74" t="s">
        <v>148</v>
      </c>
      <c r="T74" s="19" t="s">
        <v>8</v>
      </c>
      <c r="U74" s="20">
        <f>F90</f>
        <v>0</v>
      </c>
    </row>
    <row r="75" spans="1:23" ht="15.75" customHeight="1">
      <c r="C75" s="2" t="s">
        <v>186</v>
      </c>
      <c r="D75" t="s">
        <v>6</v>
      </c>
      <c r="F75" s="112">
        <v>0.33579999999999999</v>
      </c>
      <c r="H75" t="s">
        <v>134</v>
      </c>
      <c r="N75" t="s">
        <v>125</v>
      </c>
      <c r="P75" s="115">
        <f>F75</f>
        <v>0.33579999999999999</v>
      </c>
      <c r="S75" t="s">
        <v>125</v>
      </c>
      <c r="T75" t="s">
        <v>6</v>
      </c>
      <c r="U75" s="115">
        <f>F91</f>
        <v>0</v>
      </c>
    </row>
    <row r="76" spans="1:23" ht="15.75" customHeight="1">
      <c r="C76" t="s">
        <v>102</v>
      </c>
      <c r="N76" t="s">
        <v>126</v>
      </c>
      <c r="O76" s="19" t="s">
        <v>8</v>
      </c>
      <c r="P76" s="116">
        <f>P74*P75</f>
        <v>0</v>
      </c>
      <c r="S76" t="s">
        <v>126</v>
      </c>
      <c r="T76" s="19" t="s">
        <v>8</v>
      </c>
      <c r="U76" s="116">
        <f>U74*U75</f>
        <v>0</v>
      </c>
      <c r="W76" s="113"/>
    </row>
    <row r="77" spans="1:23" ht="15.75" customHeight="1">
      <c r="C77" s="2" t="s">
        <v>126</v>
      </c>
      <c r="D77" t="s">
        <v>8</v>
      </c>
      <c r="F77" s="111">
        <v>0.18</v>
      </c>
      <c r="H77" t="s">
        <v>143</v>
      </c>
      <c r="N77"/>
      <c r="O77" s="19"/>
      <c r="P77" s="104" t="s">
        <v>102</v>
      </c>
      <c r="T77" s="19"/>
      <c r="U77" s="4" t="s">
        <v>140</v>
      </c>
    </row>
    <row r="78" spans="1:23" ht="15.75" customHeight="1">
      <c r="N78" t="s">
        <v>126</v>
      </c>
      <c r="O78" s="19" t="s">
        <v>8</v>
      </c>
      <c r="P78" s="117">
        <f>F77</f>
        <v>0.18</v>
      </c>
      <c r="S78" t="s">
        <v>148</v>
      </c>
      <c r="T78" s="19" t="s">
        <v>8</v>
      </c>
      <c r="U78" s="20">
        <f>F93</f>
        <v>0</v>
      </c>
    </row>
    <row r="79" spans="1:23" ht="15.75" customHeight="1">
      <c r="C79" t="s">
        <v>135</v>
      </c>
      <c r="O79" s="19"/>
      <c r="P79" s="104" t="s">
        <v>135</v>
      </c>
      <c r="S79" t="s">
        <v>125</v>
      </c>
      <c r="T79" t="s">
        <v>6</v>
      </c>
      <c r="U79" s="115">
        <f>F94</f>
        <v>0</v>
      </c>
    </row>
    <row r="80" spans="1:23" ht="15.75" customHeight="1">
      <c r="C80" s="2" t="s">
        <v>148</v>
      </c>
      <c r="D80" t="s">
        <v>8</v>
      </c>
      <c r="F80" s="111">
        <v>2400</v>
      </c>
      <c r="H80" s="72" t="s">
        <v>197</v>
      </c>
      <c r="N80" t="s">
        <v>142</v>
      </c>
      <c r="O80" s="19"/>
      <c r="P80" s="20">
        <f>F80</f>
        <v>2400</v>
      </c>
      <c r="S80" t="s">
        <v>126</v>
      </c>
      <c r="T80" s="19" t="s">
        <v>8</v>
      </c>
      <c r="U80" s="116">
        <f>U78*U79</f>
        <v>0</v>
      </c>
    </row>
    <row r="81" spans="3:21" ht="15.75" customHeight="1">
      <c r="C81" s="2" t="s">
        <v>125</v>
      </c>
      <c r="D81" t="s">
        <v>6</v>
      </c>
      <c r="F81" s="112">
        <v>0.04</v>
      </c>
      <c r="H81" s="72" t="s">
        <v>207</v>
      </c>
      <c r="N81" t="s">
        <v>125</v>
      </c>
      <c r="O81" s="19"/>
      <c r="P81" s="115">
        <f>F81</f>
        <v>0.04</v>
      </c>
      <c r="T81" s="19"/>
      <c r="U81" s="4" t="s">
        <v>141</v>
      </c>
    </row>
    <row r="82" spans="3:21" ht="15.75" customHeight="1">
      <c r="C82" t="s">
        <v>136</v>
      </c>
      <c r="N82" t="s">
        <v>126</v>
      </c>
      <c r="O82" s="19" t="s">
        <v>8</v>
      </c>
      <c r="P82" s="116">
        <f>P80*P81</f>
        <v>96</v>
      </c>
      <c r="S82" t="s">
        <v>148</v>
      </c>
      <c r="T82" s="19" t="s">
        <v>8</v>
      </c>
      <c r="U82" s="20">
        <f>F96</f>
        <v>0</v>
      </c>
    </row>
    <row r="83" spans="3:21" ht="15.75" customHeight="1">
      <c r="C83" s="2" t="s">
        <v>148</v>
      </c>
      <c r="D83" t="s">
        <v>8</v>
      </c>
      <c r="F83" s="111">
        <v>2400</v>
      </c>
      <c r="H83" s="150" t="s">
        <v>197</v>
      </c>
      <c r="O83" s="19"/>
      <c r="P83" s="104" t="s">
        <v>137</v>
      </c>
      <c r="S83" t="s">
        <v>125</v>
      </c>
      <c r="T83" t="s">
        <v>6</v>
      </c>
      <c r="U83" s="115">
        <f>F97</f>
        <v>0</v>
      </c>
    </row>
    <row r="84" spans="3:21">
      <c r="C84" s="2" t="s">
        <v>125</v>
      </c>
      <c r="D84" t="s">
        <v>6</v>
      </c>
      <c r="F84" s="112">
        <v>1.4E-2</v>
      </c>
      <c r="H84" s="72" t="s">
        <v>207</v>
      </c>
      <c r="N84" t="s">
        <v>142</v>
      </c>
      <c r="O84" s="19"/>
      <c r="P84" s="20">
        <f>F83</f>
        <v>2400</v>
      </c>
      <c r="S84" t="s">
        <v>126</v>
      </c>
      <c r="T84" s="19" t="s">
        <v>8</v>
      </c>
      <c r="U84" s="116">
        <f>U82*U83</f>
        <v>0</v>
      </c>
    </row>
    <row r="85" spans="3:21">
      <c r="C85" t="s">
        <v>137</v>
      </c>
      <c r="N85" t="s">
        <v>125</v>
      </c>
      <c r="O85" s="19"/>
      <c r="P85" s="115">
        <f>F87</f>
        <v>4.0000000000000001E-3</v>
      </c>
      <c r="T85" s="19"/>
    </row>
    <row r="86" spans="3:21">
      <c r="C86" s="2" t="s">
        <v>148</v>
      </c>
      <c r="D86" t="s">
        <v>8</v>
      </c>
      <c r="F86" s="111">
        <v>2400</v>
      </c>
      <c r="H86" s="150" t="s">
        <v>198</v>
      </c>
      <c r="N86" t="s">
        <v>126</v>
      </c>
      <c r="O86" s="19" t="s">
        <v>8</v>
      </c>
      <c r="P86" s="116">
        <f>P84*P85</f>
        <v>9.6</v>
      </c>
      <c r="S86" t="s">
        <v>149</v>
      </c>
      <c r="T86" s="19" t="s">
        <v>8</v>
      </c>
      <c r="U86" s="118">
        <f>IF($F$13="都道府県",P82,0)</f>
        <v>0</v>
      </c>
    </row>
    <row r="87" spans="3:21">
      <c r="C87" s="2" t="s">
        <v>125</v>
      </c>
      <c r="D87" t="s">
        <v>6</v>
      </c>
      <c r="F87" s="112">
        <v>4.0000000000000001E-3</v>
      </c>
      <c r="H87" s="72" t="s">
        <v>207</v>
      </c>
      <c r="N87"/>
      <c r="O87" s="19"/>
      <c r="P87" s="148" t="s">
        <v>144</v>
      </c>
      <c r="S87" t="s">
        <v>157</v>
      </c>
      <c r="T87" s="19" t="s">
        <v>8</v>
      </c>
      <c r="U87" s="69">
        <f>IF($F$13="市町村",P90,0)</f>
        <v>33.6</v>
      </c>
    </row>
    <row r="88" spans="3:21">
      <c r="C88" t="s">
        <v>111</v>
      </c>
      <c r="N88" t="s">
        <v>142</v>
      </c>
      <c r="O88" s="19"/>
      <c r="P88" s="20">
        <f>F83</f>
        <v>2400</v>
      </c>
    </row>
    <row r="89" spans="3:21">
      <c r="C89" t="s">
        <v>139</v>
      </c>
      <c r="N89" t="s">
        <v>125</v>
      </c>
      <c r="O89" s="19"/>
      <c r="P89" s="115">
        <f>F84</f>
        <v>1.4E-2</v>
      </c>
    </row>
    <row r="90" spans="3:21">
      <c r="C90" s="2" t="s">
        <v>148</v>
      </c>
      <c r="D90" t="s">
        <v>8</v>
      </c>
      <c r="F90" s="269">
        <v>0</v>
      </c>
      <c r="H90" t="s">
        <v>187</v>
      </c>
      <c r="N90" t="s">
        <v>126</v>
      </c>
      <c r="O90" s="19" t="s">
        <v>8</v>
      </c>
      <c r="P90" s="116">
        <f>P88*P89</f>
        <v>33.6</v>
      </c>
    </row>
    <row r="91" spans="3:21">
      <c r="C91" s="2" t="s">
        <v>125</v>
      </c>
      <c r="D91" t="s">
        <v>6</v>
      </c>
      <c r="F91" s="1">
        <v>0</v>
      </c>
      <c r="H91" t="s">
        <v>145</v>
      </c>
      <c r="K91" s="4" t="s">
        <v>104</v>
      </c>
      <c r="N91"/>
      <c r="O91" s="19"/>
      <c r="R91" s="4" t="s">
        <v>158</v>
      </c>
      <c r="S91" s="4"/>
    </row>
    <row r="92" spans="3:21">
      <c r="C92" t="s">
        <v>188</v>
      </c>
      <c r="M92" t="s">
        <v>243</v>
      </c>
      <c r="N92" t="s">
        <v>126</v>
      </c>
      <c r="O92" s="19" t="s">
        <v>8</v>
      </c>
      <c r="P92" s="52">
        <f>P78</f>
        <v>0.18</v>
      </c>
      <c r="S92" t="s">
        <v>159</v>
      </c>
      <c r="T92" s="19" t="s">
        <v>8</v>
      </c>
      <c r="U92" s="69">
        <f>SUM(F99,U76,U80,U84,U86:U87)</f>
        <v>33.6</v>
      </c>
    </row>
    <row r="93" spans="3:21">
      <c r="C93" s="2" t="s">
        <v>200</v>
      </c>
      <c r="D93" t="s">
        <v>8</v>
      </c>
      <c r="F93" s="269">
        <v>0</v>
      </c>
      <c r="H93" t="s">
        <v>187</v>
      </c>
      <c r="M93" t="s">
        <v>159</v>
      </c>
      <c r="N93" t="s">
        <v>126</v>
      </c>
      <c r="O93" s="19" t="s">
        <v>8</v>
      </c>
      <c r="P93" s="52">
        <f>SUM(P76,P78,P82,P86)</f>
        <v>105.78</v>
      </c>
      <c r="S93" t="s">
        <v>160</v>
      </c>
      <c r="T93" s="19" t="s">
        <v>8</v>
      </c>
      <c r="U93" s="69">
        <f>SUM(F100,U76,U80,U84)</f>
        <v>0</v>
      </c>
    </row>
    <row r="94" spans="3:21">
      <c r="C94" s="2" t="s">
        <v>125</v>
      </c>
      <c r="D94" t="s">
        <v>6</v>
      </c>
      <c r="F94" s="1">
        <v>0</v>
      </c>
      <c r="H94" t="s">
        <v>145</v>
      </c>
      <c r="M94" t="s">
        <v>160</v>
      </c>
      <c r="N94" t="s">
        <v>126</v>
      </c>
      <c r="O94" s="19" t="s">
        <v>8</v>
      </c>
      <c r="P94" s="21">
        <f>SUM(P76,P78,P90)</f>
        <v>33.78</v>
      </c>
    </row>
    <row r="95" spans="3:21">
      <c r="C95" s="56" t="s">
        <v>189</v>
      </c>
    </row>
    <row r="96" spans="3:21">
      <c r="C96" s="2" t="s">
        <v>200</v>
      </c>
      <c r="D96" t="s">
        <v>8</v>
      </c>
      <c r="F96" s="269">
        <v>0</v>
      </c>
      <c r="H96" t="s">
        <v>187</v>
      </c>
    </row>
    <row r="97" spans="1:16">
      <c r="C97" s="2" t="s">
        <v>125</v>
      </c>
      <c r="D97" t="s">
        <v>6</v>
      </c>
      <c r="F97" s="1">
        <v>0</v>
      </c>
      <c r="H97" t="s">
        <v>146</v>
      </c>
    </row>
    <row r="98" spans="1:16"/>
    <row r="99" spans="1:16">
      <c r="C99" t="s">
        <v>174</v>
      </c>
      <c r="D99" t="s">
        <v>8</v>
      </c>
      <c r="F99" s="111"/>
    </row>
    <row r="100" spans="1:16">
      <c r="C100" t="s">
        <v>175</v>
      </c>
      <c r="D100" t="s">
        <v>8</v>
      </c>
      <c r="F100" s="111"/>
    </row>
    <row r="101" spans="1:16"/>
    <row r="102" spans="1:16">
      <c r="A102" s="4" t="s">
        <v>113</v>
      </c>
      <c r="J102" s="4" t="s">
        <v>124</v>
      </c>
      <c r="O102" t="s">
        <v>0</v>
      </c>
      <c r="P102" t="s">
        <v>1</v>
      </c>
    </row>
    <row r="103" spans="1:16">
      <c r="C103" s="31"/>
      <c r="D103" s="31"/>
      <c r="E103" s="31"/>
      <c r="F103" s="31" t="s">
        <v>38</v>
      </c>
      <c r="K103" t="s">
        <v>196</v>
      </c>
      <c r="N103" s="19" t="s">
        <v>8</v>
      </c>
      <c r="O103" s="52">
        <f>F104</f>
        <v>100</v>
      </c>
      <c r="P103" s="53"/>
    </row>
    <row r="104" spans="1:16">
      <c r="C104" s="94" t="s">
        <v>164</v>
      </c>
      <c r="D104" t="s">
        <v>8</v>
      </c>
      <c r="F104" s="1">
        <v>100</v>
      </c>
      <c r="K104" t="s">
        <v>67</v>
      </c>
      <c r="N104" s="19" t="s">
        <v>8</v>
      </c>
      <c r="O104" s="52">
        <f>F105*O16</f>
        <v>276</v>
      </c>
      <c r="P104" s="53"/>
    </row>
    <row r="105" spans="1:16">
      <c r="C105" s="94" t="s">
        <v>129</v>
      </c>
      <c r="D105" t="s">
        <v>8</v>
      </c>
      <c r="F105" s="1">
        <v>12</v>
      </c>
      <c r="K105" t="s">
        <v>68</v>
      </c>
      <c r="N105" s="19" t="s">
        <v>8</v>
      </c>
      <c r="O105" s="52">
        <f>F106</f>
        <v>100</v>
      </c>
      <c r="P105" s="53"/>
    </row>
    <row r="106" spans="1:16">
      <c r="C106" s="94" t="s">
        <v>40</v>
      </c>
      <c r="D106" t="s">
        <v>8</v>
      </c>
      <c r="F106" s="1">
        <v>100</v>
      </c>
      <c r="K106" t="s">
        <v>69</v>
      </c>
    </row>
    <row r="107" spans="1:16">
      <c r="C107" s="94"/>
      <c r="M107" t="s">
        <v>264</v>
      </c>
      <c r="N107" s="19" t="s">
        <v>6</v>
      </c>
      <c r="O107" s="70">
        <f>F65</f>
        <v>1.4999999999999999E-2</v>
      </c>
      <c r="P107" s="53"/>
    </row>
    <row r="108" spans="1:16">
      <c r="C108" s="94"/>
      <c r="M108" t="s">
        <v>79</v>
      </c>
      <c r="N108" s="19" t="s">
        <v>6</v>
      </c>
      <c r="O108" s="71">
        <f>P67</f>
        <v>2.9499999999999998E-2</v>
      </c>
      <c r="P108" s="53"/>
    </row>
    <row r="109" spans="1:16">
      <c r="C109" s="94"/>
      <c r="M109" t="s">
        <v>70</v>
      </c>
      <c r="N109" s="19" t="s">
        <v>6</v>
      </c>
      <c r="O109" s="70">
        <f>O108-O107</f>
        <v>1.4499999999999999E-2</v>
      </c>
      <c r="P109" s="53"/>
    </row>
    <row r="110" spans="1:16">
      <c r="C110" s="94"/>
      <c r="M110" s="95" t="s">
        <v>114</v>
      </c>
      <c r="N110" t="s">
        <v>8</v>
      </c>
      <c r="O110" s="52">
        <f>SUM(AK17:AK46)</f>
        <v>246.17346740250522</v>
      </c>
      <c r="P110" s="53"/>
    </row>
    <row r="111" spans="1:16"/>
    <row r="112" spans="1:16" s="264" customFormat="1" ht="15" customHeight="1" thickBot="1">
      <c r="B112" s="264" t="s">
        <v>252</v>
      </c>
      <c r="I112" s="265"/>
    </row>
    <row r="113" ht="19" hidden="1" thickTop="1"/>
  </sheetData>
  <phoneticPr fontId="2"/>
  <dataValidations count="2">
    <dataValidation type="list" allowBlank="1" showInputMessage="1" showErrorMessage="1" sqref="F13" xr:uid="{B6F20DC9-043B-445E-ACF0-A23A99EB222A}">
      <formula1>$O$13:$Q$13</formula1>
    </dataValidation>
    <dataValidation type="list" allowBlank="1" showInputMessage="1" showErrorMessage="1" sqref="F47" xr:uid="{4647F912-BDFC-4F40-B0B1-E761876EAAA2}">
      <formula1>$G$47:$G$48</formula1>
    </dataValidation>
  </dataValidations>
  <pageMargins left="0.23622047244094491" right="0.23622047244094491" top="0.74803149606299213" bottom="0.74803149606299213" header="0.31496062992125984" footer="0.31496062992125984"/>
  <pageSetup paperSize="8" scale="41" fitToWidth="0" orientation="landscape" r:id="rId1"/>
  <colBreaks count="2" manualBreakCount="2">
    <brk id="21" max="1048575" man="1"/>
    <brk id="5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0D8B4-D773-4348-9A24-1EC23B8753A3}">
  <sheetPr>
    <tabColor rgb="FFFF0000"/>
    <pageSetUpPr fitToPage="1"/>
  </sheetPr>
  <dimension ref="A1:AW41"/>
  <sheetViews>
    <sheetView showGridLines="0" zoomScale="70" zoomScaleNormal="70" workbookViewId="0">
      <selection activeCell="K19" sqref="K19"/>
    </sheetView>
  </sheetViews>
  <sheetFormatPr baseColWidth="10" defaultColWidth="0" defaultRowHeight="20" zeroHeight="1"/>
  <cols>
    <col min="1" max="3" width="9" style="74" customWidth="1"/>
    <col min="4" max="4" width="12" style="74" customWidth="1"/>
    <col min="5" max="5" width="12.33203125" style="74" customWidth="1"/>
    <col min="6" max="6" width="10.6640625" style="74" customWidth="1"/>
    <col min="7" max="8" width="9" style="74" customWidth="1"/>
    <col min="9" max="9" width="1.6640625" style="74" customWidth="1"/>
    <col min="10" max="11" width="9" style="74" customWidth="1"/>
    <col min="12" max="12" width="1.6640625" style="74" customWidth="1"/>
    <col min="13" max="14" width="9" style="74" customWidth="1"/>
    <col min="15" max="15" width="1.5" style="74" customWidth="1"/>
    <col min="16" max="17" width="9" style="74" customWidth="1"/>
    <col min="18" max="18" width="2.6640625" style="74" customWidth="1"/>
    <col min="19" max="24" width="9" style="74" customWidth="1"/>
    <col min="25" max="25" width="53.1640625" style="74" bestFit="1" customWidth="1"/>
    <col min="26" max="26" width="11.33203125" style="74" customWidth="1"/>
    <col min="27" max="27" width="10.33203125" style="74" customWidth="1"/>
    <col min="28" max="28" width="1.6640625" style="74" customWidth="1"/>
    <col min="29" max="29" width="10.33203125" style="74" customWidth="1"/>
    <col min="30" max="30" width="1.6640625" style="74" customWidth="1"/>
    <col min="31" max="31" width="10.33203125" style="74" customWidth="1"/>
    <col min="32" max="32" width="1.6640625" style="74" customWidth="1"/>
    <col min="33" max="33" width="10.33203125" style="74" customWidth="1"/>
    <col min="34" max="34" width="1.6640625" style="74" customWidth="1"/>
    <col min="35" max="35" width="10.33203125" style="74" customWidth="1"/>
    <col min="36" max="36" width="9" style="74" customWidth="1"/>
    <col min="37" max="49" width="0" style="74" hidden="1" customWidth="1"/>
    <col min="50" max="16384" width="9" style="74" hidden="1"/>
  </cols>
  <sheetData>
    <row r="1" spans="1:36" ht="15" customHeight="1"/>
    <row r="2" spans="1:36" ht="15" customHeight="1"/>
    <row r="3" spans="1:36" s="76" customFormat="1" ht="33">
      <c r="A3" s="90" t="s">
        <v>235</v>
      </c>
    </row>
    <row r="4" spans="1:36" ht="33">
      <c r="A4" s="89" t="s">
        <v>99</v>
      </c>
      <c r="X4" s="89" t="s">
        <v>100</v>
      </c>
    </row>
    <row r="5" spans="1:36" ht="33">
      <c r="A5" s="89"/>
      <c r="F5" s="74" t="s">
        <v>19</v>
      </c>
      <c r="X5" s="89"/>
      <c r="Z5" s="74" t="s">
        <v>19</v>
      </c>
    </row>
    <row r="6" spans="1:36">
      <c r="B6" s="75" t="s">
        <v>91</v>
      </c>
    </row>
    <row r="7" spans="1:36">
      <c r="A7" s="75"/>
      <c r="B7" s="75"/>
      <c r="C7" s="75" t="s">
        <v>48</v>
      </c>
      <c r="G7" s="300" t="s">
        <v>272</v>
      </c>
      <c r="H7" s="301"/>
      <c r="J7" s="300"/>
      <c r="K7" s="301"/>
      <c r="M7" s="300"/>
      <c r="N7" s="301"/>
      <c r="P7" s="300"/>
      <c r="Q7" s="301"/>
      <c r="S7" s="300"/>
      <c r="T7" s="301"/>
      <c r="AA7" s="189" t="str">
        <f>IF(G7="","",G7)</f>
        <v>DB</v>
      </c>
      <c r="AC7" s="189" t="str">
        <f>IF(J7="","",J7)</f>
        <v/>
      </c>
      <c r="AE7" s="189" t="str">
        <f>IF(M7="","",M7)</f>
        <v/>
      </c>
      <c r="AG7" s="189" t="str">
        <f>IF(P7="","",P7)</f>
        <v/>
      </c>
      <c r="AI7" s="189" t="str">
        <f>IF(S7="","",S7)</f>
        <v/>
      </c>
    </row>
    <row r="8" spans="1:36">
      <c r="C8" s="75" t="s">
        <v>3</v>
      </c>
      <c r="F8" s="74" t="s">
        <v>7</v>
      </c>
      <c r="G8" s="187">
        <f>IFERROR(SUM(G9:G10),"-")</f>
        <v>3</v>
      </c>
      <c r="H8" s="188"/>
      <c r="J8" s="187">
        <f>IFERROR(SUM(J9:J10),"-")</f>
        <v>0</v>
      </c>
      <c r="K8" s="188"/>
      <c r="M8" s="187">
        <f>IFERROR(SUM(M9:M10),"-")</f>
        <v>0</v>
      </c>
      <c r="N8" s="188"/>
      <c r="P8" s="187">
        <f>IFERROR(SUM(P9:P10),"-")</f>
        <v>0</v>
      </c>
      <c r="Q8" s="188"/>
      <c r="S8" s="187">
        <f>IFERROR(SUM(S9:S10),"-")</f>
        <v>0</v>
      </c>
      <c r="T8" s="188"/>
      <c r="X8" s="75" t="s">
        <v>85</v>
      </c>
      <c r="Y8" s="75"/>
      <c r="Z8" s="75"/>
    </row>
    <row r="9" spans="1:36">
      <c r="D9" s="75" t="s">
        <v>27</v>
      </c>
      <c r="F9" s="74" t="s">
        <v>7</v>
      </c>
      <c r="G9" s="187" cm="1">
        <f t="array" ref="G9">IFERROR(_xlfn.IFS(G$7="DB",DB!$F16,G$7="BT",BT!$F16,G$7="DBO",DBO!$F16,G$7="BTO",BTO!$F16,G$7="BOT/BOO",BOT・BOO!$F16),"-")</f>
        <v>3</v>
      </c>
      <c r="H9" s="188"/>
      <c r="J9" s="187" t="str" cm="1">
        <f t="array" ref="J9">IFERROR(_xlfn.IFS(J$7="DB",DB!$F16,J$7="BT",BT!$F16,J$7="DBO",DBO!$F16,J$7="BTO",BTO!$F16,J$7="BOT/BOO",BOT・BOO!$F16),"-")</f>
        <v>-</v>
      </c>
      <c r="K9" s="188"/>
      <c r="M9" s="187" t="str" cm="1">
        <f t="array" ref="M9">IFERROR(_xlfn.IFS(M$7="DB",DB!$F16,M$7="BT",BT!$F16,M$7="DBO",DBO!$F16,M$7="BTO",BTO!$F16,M$7="BOT/BOO",BOT・BOO!$F16),"-")</f>
        <v>-</v>
      </c>
      <c r="N9" s="188"/>
      <c r="P9" s="187" t="str" cm="1">
        <f t="array" ref="P9">IFERROR(_xlfn.IFS(P$7="DB",DB!$F16,P$7="BT",BT!$F16,P$7="DBO",DBO!$F16,P$7="BTO",BTO!$F16,P$7="BOT/BOO",BOT・BOO!$F16),"-")</f>
        <v>-</v>
      </c>
      <c r="Q9" s="188"/>
      <c r="S9" s="187" t="str" cm="1">
        <f t="array" ref="S9">IFERROR(_xlfn.IFS(S$7="DB",DB!$F16,S$7="BT",BT!$F16,S$7="DBO",DBO!$F16,S$7="BTO",BTO!$F16,S$7="BOT/BOO",BOT・BOO!$F16),"-")</f>
        <v>-</v>
      </c>
      <c r="T9" s="188"/>
      <c r="Y9" s="74" t="s">
        <v>87</v>
      </c>
      <c r="Z9" s="74" t="s">
        <v>8</v>
      </c>
      <c r="AA9" s="182" cm="1">
        <f t="array" ref="AA9">IFERROR(_xlfn.IFS(G$7="DB",DB!$AJ58,G$7="BT",BT!$AJ58,G$7="DBO",DBO!$AJ58,G$7="BTO",BTO!$AJ58,G$7="BOT/BOO",BOT・BOO!$AJ58),"-")</f>
        <v>-1355.25</v>
      </c>
      <c r="AC9" s="182" t="str" cm="1">
        <f t="array" ref="AC9">IFERROR(_xlfn.IFS(J$7="DB",DB!$AJ58,J$7="BT",BT!$AJ58,J$7="DBO",DBO!$AJ58,J$7="BTO",BTO!$AJ58,J$7="BOT/BOO",BOT・BOO!$AJ58),"-")</f>
        <v>-</v>
      </c>
      <c r="AE9" s="182" t="str" cm="1">
        <f t="array" ref="AE9">IFERROR(_xlfn.IFS(M$7="DB",DB!$AJ58,M$7="BT",BT!$AJ58,M$7="DBO",DBO!$AJ58,M$7="BTO",BTO!$AJ58,M$7="BOT/BOO",BOT・BOO!$AJ58),"-")</f>
        <v>-</v>
      </c>
      <c r="AG9" s="182" t="str" cm="1">
        <f t="array" ref="AG9">IFERROR(_xlfn.IFS(P$7="DB",DB!$AJ58,P$7="BT",BT!$AJ58,P$7="DBO",DBO!$AJ58,P$7="BTO",BTO!$AJ58,P$7="BOT/BOO",BOT・BOO!$AJ58),"-")</f>
        <v>-</v>
      </c>
      <c r="AI9" s="182" t="str" cm="1">
        <f t="array" ref="AI9">IFERROR(_xlfn.IFS(S$7="DB",DB!$AJ58,S$7="BT",BT!$AJ58,S$7="DBO",DBO!$AJ58,S$7="BTO",BTO!$AJ58,S$7="BOT/BOO",BOT・BOO!$AJ58),"-")</f>
        <v>-</v>
      </c>
    </row>
    <row r="10" spans="1:36">
      <c r="D10" s="75" t="s">
        <v>80</v>
      </c>
      <c r="F10" s="74" t="s">
        <v>7</v>
      </c>
      <c r="G10" s="187" cm="1">
        <f t="array" ref="G10">IFERROR(_xlfn.IFS(G$7="DB",DB!$F17,G$7="BT",BT!$F17,G$7="DBO",DBO!$F17,G$7="BTO",BTO!$F17,G$7="BOT/BOO",BOT・BOO!$F17),"-")</f>
        <v>0</v>
      </c>
      <c r="H10" s="188"/>
      <c r="J10" s="187" t="str" cm="1">
        <f t="array" ref="J10">IFERROR(_xlfn.IFS(J$7="DB",DB!$F17,J$7="BT",BT!$F17,J$7="DBO",DBO!$F17,J$7="BTO",BTO!$F17,J$7="BOT/BOO",BOT・BOO!$F17),"-")</f>
        <v>-</v>
      </c>
      <c r="K10" s="188"/>
      <c r="M10" s="187" t="str" cm="1">
        <f t="array" ref="M10">IFERROR(_xlfn.IFS(M$7="DB",DB!$F17,M$7="BT",BT!$F17,M$7="DBO",DBO!$F17,M$7="BTO",BTO!$F17,M$7="BOT/BOO",BOT・BOO!$F17),"-")</f>
        <v>-</v>
      </c>
      <c r="N10" s="188"/>
      <c r="P10" s="187" t="str" cm="1">
        <f t="array" ref="P10">IFERROR(_xlfn.IFS(P$7="DB",DB!$F17,P$7="BT",BT!$F17,P$7="DBO",DBO!$F17,P$7="BTO",BTO!$F17,P$7="BOT/BOO",BOT・BOO!$F17),"-")</f>
        <v>-</v>
      </c>
      <c r="Q10" s="188"/>
      <c r="S10" s="187" t="str" cm="1">
        <f t="array" ref="S10">IFERROR(_xlfn.IFS(S$7="DB",DB!$F17,S$7="BT",BT!$F17,S$7="DBO",DBO!$F17,S$7="BTO",BTO!$F17,S$7="BOT/BOO",BOT・BOO!$F17),"-")</f>
        <v>-</v>
      </c>
      <c r="T10" s="188"/>
      <c r="Y10" s="74" t="s">
        <v>88</v>
      </c>
      <c r="Z10" s="74" t="s">
        <v>8</v>
      </c>
      <c r="AA10" s="182" cm="1">
        <f t="array" ref="AA10">IFERROR(_xlfn.IFS(G$7="DB",DB!$AM58,G$7="BT",BT!$AM58,G$7="DBO",DBO!$AM58,G$7="BTO",BTO!$AM58,G$7="BOT/BOO",BOT・BOO!$AM58),"-")</f>
        <v>-1225.0767138497936</v>
      </c>
      <c r="AC10" s="182" t="str" cm="1">
        <f t="array" ref="AC10">IFERROR(_xlfn.IFS(J$7="DB",DB!$AM58,J$7="BT",BT!$AM58,J$7="DBO",DBO!$AM58,J$7="BTO",BTO!$AM58,J$7="BOT/BOO",BOT・BOO!$AM58),"-")</f>
        <v>-</v>
      </c>
      <c r="AE10" s="182" t="str" cm="1">
        <f t="array" ref="AE10">IFERROR(_xlfn.IFS(M$7="DB",DB!$AM58,M$7="BT",BT!$AM58,M$7="DBO",DBO!$AM58,M$7="BTO",BTO!$AM58,M$7="BOT/BOO",BOT・BOO!$AM58),"-")</f>
        <v>-</v>
      </c>
      <c r="AG10" s="182" t="str" cm="1">
        <f t="array" ref="AG10">IFERROR(_xlfn.IFS(P$7="DB",DB!$AM58,P$7="BT",BT!$AM58,P$7="DBO",DBO!$AM58,P$7="BTO",BTO!$AM58,P$7="BOT/BOO",BOT・BOO!$AM58),"-")</f>
        <v>-</v>
      </c>
      <c r="AI10" s="182" t="str" cm="1">
        <f t="array" ref="AI10">IFERROR(_xlfn.IFS(S$7="DB",DB!$AM58,S$7="BT",BT!$AM58,S$7="DBO",DBO!$AM58,S$7="BTO",BTO!$AM58,S$7="BOT/BOO",BOT・BOO!$AM58),"-")</f>
        <v>-</v>
      </c>
    </row>
    <row r="11" spans="1:36">
      <c r="D11" s="75"/>
      <c r="G11" s="203" t="s">
        <v>0</v>
      </c>
      <c r="H11" s="203" t="s">
        <v>1</v>
      </c>
      <c r="J11" s="203" t="s">
        <v>0</v>
      </c>
      <c r="K11" s="203" t="s">
        <v>1</v>
      </c>
      <c r="M11" s="203" t="s">
        <v>0</v>
      </c>
      <c r="N11" s="203" t="s">
        <v>1</v>
      </c>
      <c r="P11" s="203" t="s">
        <v>0</v>
      </c>
      <c r="Q11" s="203" t="s">
        <v>1</v>
      </c>
      <c r="S11" s="203" t="s">
        <v>0</v>
      </c>
      <c r="T11" s="203" t="s">
        <v>1</v>
      </c>
      <c r="AA11" s="184"/>
      <c r="AC11" s="184"/>
      <c r="AE11" s="184"/>
      <c r="AG11" s="184"/>
      <c r="AI11" s="184"/>
    </row>
    <row r="12" spans="1:36">
      <c r="C12" s="75" t="s">
        <v>81</v>
      </c>
      <c r="D12" s="75"/>
      <c r="F12" s="74" t="s">
        <v>8</v>
      </c>
      <c r="G12" s="142" cm="1">
        <f t="array" ref="G12">IFERROR(_xlfn.IFS(G$7="DB",DB!$O29,G$7="BT",BT!$O29,G$7="DBO",DBO!$O29,G$7="BTO",BTO!$O29,G$7="BOT/BOO",BOT・BOO!$O29),"-")</f>
        <v>2850</v>
      </c>
      <c r="H12" s="142" cm="1">
        <f t="array" ref="H12">IFERROR(_xlfn.IFS(G$7="DB",DB!$P29,G$7="BT",BT!$P29,G$7="DBO",DBO!$P29,G$7="BTO",BTO!$P29,G$7="BOT/BOO",BOT・BOO!$P29),"-")</f>
        <v>2700</v>
      </c>
      <c r="J12" s="142" t="str" cm="1">
        <f t="array" ref="J12">IFERROR(_xlfn.IFS(J$7="DB",DB!$O29,J$7="BT",BT!$O29,J$7="DBO",DBO!$O29,J$7="BTO",BTO!$O29,J$7="BOT/BOO",BOT・BOO!$O29),"-")</f>
        <v>-</v>
      </c>
      <c r="K12" s="142" t="str" cm="1">
        <f t="array" ref="K12">IFERROR(_xlfn.IFS(J$7="DB",DB!$P29,J$7="BT",BT!$P29,J$7="DBO",DBO!$P29,J$7="BTO",BTO!$P29,J$7="BOT/BOO",BOT・BOO!$P29),"-")</f>
        <v>-</v>
      </c>
      <c r="M12" s="142" t="str" cm="1">
        <f t="array" ref="M12">IFERROR(_xlfn.IFS(M$7="DB",DB!$O29,M$7="BT",BT!$O29,M$7="DBO",DBO!$O29,M$7="BTO",BTO!$O29,M$7="BOT/BOO",BOT・BOO!$O29),"-")</f>
        <v>-</v>
      </c>
      <c r="N12" s="142" t="str" cm="1">
        <f t="array" ref="N12">IFERROR(_xlfn.IFS(M$7="DB",DB!$P29,M$7="BT",BT!$P29,M$7="DBO",DBO!$P29,M$7="BTO",BTO!$P29,M$7="BOT/BOO",BOT・BOO!$P29),"-")</f>
        <v>-</v>
      </c>
      <c r="P12" s="142" t="str" cm="1">
        <f t="array" ref="P12">IFERROR(_xlfn.IFS(P$7="DB",DB!$O29,P$7="BT",BT!$O29,P$7="DBO",DBO!$O29,P$7="BTO",BTO!$O29,P$7="BOT/BOO",BOT・BOO!$O29),"-")</f>
        <v>-</v>
      </c>
      <c r="Q12" s="142" t="str" cm="1">
        <f t="array" ref="Q12">IFERROR(_xlfn.IFS(P$7="DB",DB!$P29,P$7="BT",BT!$P29,P$7="DBO",DBO!$P29,P$7="BTO",BTO!$P29,P$7="BOT/BOO",BOT・BOO!$P29),"-")</f>
        <v>-</v>
      </c>
      <c r="S12" s="142" t="str" cm="1">
        <f t="array" ref="S12">IFERROR(_xlfn.IFS(S$7="DB",DB!$O29,S$7="BT",BT!$O29,S$7="DBO",DBO!$O29,S$7="BTO",BTO!$O29,S$7="BOT/BOO",BOT・BOO!$O29),"-")</f>
        <v>-</v>
      </c>
      <c r="T12" s="142" t="str" cm="1">
        <f t="array" ref="T12">IFERROR(_xlfn.IFS(S$7="DB",DB!$P29,S$7="BT",BT!$P29,S$7="DBO",DBO!$P29,S$7="BTO",BTO!$P29,S$7="BOT/BOO",BOT・BOO!$P29),"-")</f>
        <v>-</v>
      </c>
      <c r="U12" s="214" t="s">
        <v>233</v>
      </c>
      <c r="X12" s="75" t="s">
        <v>86</v>
      </c>
      <c r="AA12" s="184"/>
      <c r="AC12" s="184"/>
      <c r="AE12" s="184"/>
      <c r="AG12" s="184"/>
      <c r="AI12" s="184"/>
    </row>
    <row r="13" spans="1:36">
      <c r="C13" s="75" t="s">
        <v>82</v>
      </c>
      <c r="D13" s="75"/>
      <c r="G13" s="203" t="s">
        <v>0</v>
      </c>
      <c r="H13" s="203" t="s">
        <v>1</v>
      </c>
      <c r="J13" s="203" t="s">
        <v>0</v>
      </c>
      <c r="K13" s="203" t="s">
        <v>1</v>
      </c>
      <c r="M13" s="203" t="s">
        <v>0</v>
      </c>
      <c r="N13" s="203" t="s">
        <v>1</v>
      </c>
      <c r="P13" s="203" t="s">
        <v>0</v>
      </c>
      <c r="Q13" s="203" t="s">
        <v>1</v>
      </c>
      <c r="S13" s="203" t="s">
        <v>0</v>
      </c>
      <c r="T13" s="203" t="s">
        <v>1</v>
      </c>
      <c r="U13" s="214"/>
      <c r="Y13" s="74" t="s">
        <v>89</v>
      </c>
      <c r="Z13" s="74" t="s">
        <v>8</v>
      </c>
      <c r="AA13" s="182" cm="1">
        <f t="array" ref="AA13">IFERROR(_xlfn.IFS(G$7="DB",DB!$BC58,G$7="BT",BT!$BC58,G$7="DBO",DBO!$BC58,G$7="BTO",BTO!$BC58,G$7="BOT/BOO",BOT・BOO!$BC58),"-")</f>
        <v>-1298.5</v>
      </c>
      <c r="AC13" s="182" t="str" cm="1">
        <f t="array" ref="AC13">IFERROR(_xlfn.IFS(J$7="DB",DB!$BC58,J$7="BT",BT!$BC58,J$7="DBO",DBO!$BC58,J$7="BTO",BTO!$BC58,J$7="BOT/BOO",BOT・BOO!$BC58),"-")</f>
        <v>-</v>
      </c>
      <c r="AE13" s="182" t="str" cm="1">
        <f t="array" ref="AE13">IFERROR(_xlfn.IFS(M$7="DB",DB!$BC58,M$7="BT",BT!$BC58,M$7="DBO",DBO!$BC58,M$7="BTO",BTO!$BC58,M$7="BOT/BOO",BOT・BOO!$BC58),"-")</f>
        <v>-</v>
      </c>
      <c r="AG13" s="182" t="str" cm="1">
        <f t="array" ref="AG13">IFERROR(_xlfn.IFS(P$7="DB",DB!$BC58,P$7="BT",BT!$BC58,P$7="DBO",DBO!$BC58,P$7="BTO",BTO!$BC58,P$7="BOT/BOO",BOT・BOO!$BC58),"-")</f>
        <v>-</v>
      </c>
      <c r="AI13" s="182" t="str" cm="1">
        <f t="array" ref="AI13">IFERROR(_xlfn.IFS(S$7="DB",DB!$BC58,S$7="BT",BT!$BC58,S$7="DBO",DBO!$BC58,S$7="BTO",BTO!$BC58,S$7="BOT/BOO",BOT・BOO!$BC58),"-")</f>
        <v>-</v>
      </c>
      <c r="AJ13" s="183"/>
    </row>
    <row r="14" spans="1:36">
      <c r="C14" s="75"/>
      <c r="D14" s="75" t="s">
        <v>83</v>
      </c>
      <c r="F14" s="74" t="s">
        <v>8</v>
      </c>
      <c r="G14" s="78" cm="1">
        <f t="array" ref="G14">IFERROR(_xlfn.IFS(G$7="DB",DB!$O43,G$7="BT",BT!$O43,G$7="DBO",DBO!$O43,G$7="BTO",BTO!$O43,G$7="BOT/BOO",BOT・BOO!$O43),"-")</f>
        <v>0</v>
      </c>
      <c r="H14" s="78" cm="1">
        <f t="array" ref="H14">IFERROR(_xlfn.IFS(G$7="DB",DB!$P43,G$7="BT",BT!$P43,G$7="DBO",DBO!$P43,G$7="BTO",BTO!$P43,G$7="BOT/BOO",BOT・BOO!$P43),"-")</f>
        <v>0</v>
      </c>
      <c r="I14" s="266"/>
      <c r="J14" s="78" t="str" cm="1">
        <f t="array" ref="J14">IFERROR(_xlfn.IFS(J$7="DB",DB!$O43,J$7="BT",BT!$O43,J$7="DBO",DBO!$O43,J$7="BTO",BTO!$O43,J$7="BOT/BOO",BOT・BOO!$O43),"-")</f>
        <v>-</v>
      </c>
      <c r="K14" s="78" t="str" cm="1">
        <f t="array" ref="K14">IFERROR(_xlfn.IFS(J$7="DB",DB!$P43,J$7="BT",BT!$P43,J$7="DBO",DBO!$P43,J$7="BTO",BTO!$P43,J$7="BOT/BOO",BOT・BOO!$P43),"-")</f>
        <v>-</v>
      </c>
      <c r="L14" s="266"/>
      <c r="M14" s="78" t="str" cm="1">
        <f t="array" ref="M14">IFERROR(_xlfn.IFS(M$7="DB",DB!$O43,M$7="BT",BT!$O43,M$7="DBO",DBO!$O43,M$7="BTO",BTO!$O43,M$7="BOT/BOO",BOT・BOO!$O43),"-")</f>
        <v>-</v>
      </c>
      <c r="N14" s="78" t="str" cm="1">
        <f t="array" ref="N14">IFERROR(_xlfn.IFS(M$7="DB",DB!$P43,M$7="BT",BT!$P43,M$7="DBO",DBO!$P43,M$7="BTO",BTO!$P43,M$7="BOT/BOO",BOT・BOO!$P43),"-")</f>
        <v>-</v>
      </c>
      <c r="O14" s="266"/>
      <c r="P14" s="78" t="str" cm="1">
        <f t="array" ref="P14">IFERROR(_xlfn.IFS(P$7="DB",DB!$O43,P$7="BT",BT!$O43,P$7="DBO",DBO!$O43,P$7="BTO",BTO!$O43,P$7="BOT/BOO",BOT・BOO!$O43),"-")</f>
        <v>-</v>
      </c>
      <c r="Q14" s="78" t="str" cm="1">
        <f t="array" ref="Q14">IFERROR(_xlfn.IFS(P$7="DB",DB!$P43,P$7="BT",BT!$P43,P$7="DBO",DBO!$P43,P$7="BTO",BTO!$P43,P$7="BOT/BOO",BOT・BOO!$P43),"-")</f>
        <v>-</v>
      </c>
      <c r="R14" s="266"/>
      <c r="S14" s="78" t="str" cm="1">
        <f t="array" ref="S14">IFERROR(_xlfn.IFS(S$7="DB",DB!$O43,S$7="BT",BT!$O43,S$7="DBO",DBO!$O43,S$7="BTO",BTO!$O43,S$7="BOT/BOO",BOT・BOO!$O43),"-")</f>
        <v>-</v>
      </c>
      <c r="T14" s="78" t="str" cm="1">
        <f t="array" ref="T14">IFERROR(_xlfn.IFS(S$7="DB",DB!$P43,S$7="BT",BT!$P43,S$7="DBO",DBO!$P43,S$7="BTO",BTO!$P43,S$7="BOT/BOO",BOT・BOO!$P43),"-")</f>
        <v>-</v>
      </c>
      <c r="U14" s="214" t="s">
        <v>233</v>
      </c>
      <c r="X14" s="75"/>
      <c r="Y14" s="74" t="s">
        <v>101</v>
      </c>
      <c r="Z14" s="74" t="s">
        <v>8</v>
      </c>
      <c r="AA14" s="182" cm="1">
        <f t="array" ref="AA14">IFERROR(_xlfn.IFS(G$7="DB",DB!$BD58,G$7="BT",BT!$BD58,G$7="DBO",DBO!$BD58,G$7="BTO",BTO!$BD58,G$7="BOT/BOO",BOT・BOO!$BD58),"-")</f>
        <v>-1175.0239512760127</v>
      </c>
      <c r="AC14" s="182" t="str" cm="1">
        <f t="array" ref="AC14">IFERROR(_xlfn.IFS(J$7="DB",DB!$BD58,J$7="BT",BT!$BD58,J$7="DBO",DBO!$BD58,J$7="BTO",BTO!$BD58,J$7="BOT/BOO",BOT・BOO!$BD58),"-")</f>
        <v>-</v>
      </c>
      <c r="AE14" s="182" t="str" cm="1">
        <f t="array" ref="AE14">IFERROR(_xlfn.IFS(M$7="DB",DB!$BD58,M$7="BT",BT!$BD58,M$7="DBO",DBO!$BD58,M$7="BTO",BTO!$BD58,M$7="BOT/BOO",BOT・BOO!$BD58),"-")</f>
        <v>-</v>
      </c>
      <c r="AG14" s="182" t="str" cm="1">
        <f t="array" ref="AG14">IFERROR(_xlfn.IFS(P$7="DB",DB!$BD58,P$7="BT",BT!$BD58,P$7="DBO",DBO!$BD58,P$7="BTO",BTO!$BD58,P$7="BOT/BOO",BOT・BOO!$BD58),"-")</f>
        <v>-</v>
      </c>
      <c r="AI14" s="182" t="str" cm="1">
        <f t="array" ref="AI14">IFERROR(_xlfn.IFS(S$7="DB",DB!$BD58,S$7="BT",BT!$BD58,S$7="DBO",DBO!$BD58,S$7="BTO",BTO!$BD58,S$7="BOT/BOO",BOT・BOO!$BD58),"-")</f>
        <v>-</v>
      </c>
      <c r="AJ14" s="183"/>
    </row>
    <row r="15" spans="1:36">
      <c r="C15" s="75"/>
      <c r="D15" s="75" t="s">
        <v>84</v>
      </c>
      <c r="F15" s="74" t="s">
        <v>8</v>
      </c>
      <c r="G15" s="78" cm="1">
        <f t="array" ref="G15">IFERROR(_xlfn.IFS(G$7="DB",DB!$O44,G$7="BT",BT!$O44,G$7="DBO",DBO!$O44,G$7="BTO",BTO!$O44,G$7="BOT/BOO",BOT・BOO!$O44),"-")</f>
        <v>0</v>
      </c>
      <c r="H15" s="78" cm="1">
        <f t="array" ref="H15">IFERROR(_xlfn.IFS(G$7="DB",DB!$P44,G$7="BT",BT!$P44,G$7="DBO",DBO!$P44,G$7="BTO",BTO!$P44,G$7="BOT/BOO",BOT・BOO!$P44),"-")</f>
        <v>0</v>
      </c>
      <c r="I15" s="266"/>
      <c r="J15" s="78" t="str" cm="1">
        <f t="array" ref="J15">IFERROR(_xlfn.IFS(J$7="DB",DB!$O44,J$7="BT",BT!$O44,J$7="DBO",DBO!$O44,J$7="BTO",BTO!$O44,J$7="BOT/BOO",BOT・BOO!$O44),"-")</f>
        <v>-</v>
      </c>
      <c r="K15" s="78" t="str" cm="1">
        <f t="array" ref="K15">IFERROR(_xlfn.IFS(J$7="DB",DB!$P44,J$7="BT",BT!$P44,J$7="DBO",DBO!$P44,J$7="BTO",BTO!$P44,J$7="BOT/BOO",BOT・BOO!$P44),"-")</f>
        <v>-</v>
      </c>
      <c r="L15" s="266"/>
      <c r="M15" s="78" t="str" cm="1">
        <f t="array" ref="M15">IFERROR(_xlfn.IFS(M$7="DB",DB!$O44,M$7="BT",BT!$O44,M$7="DBO",DBO!$O44,M$7="BTO",BTO!$O44,M$7="BOT/BOO",BOT・BOO!$O44),"-")</f>
        <v>-</v>
      </c>
      <c r="N15" s="78" t="str" cm="1">
        <f t="array" ref="N15">IFERROR(_xlfn.IFS(M$7="DB",DB!$P44,M$7="BT",BT!$P44,M$7="DBO",DBO!$P44,M$7="BTO",BTO!$P44,M$7="BOT/BOO",BOT・BOO!$P44),"-")</f>
        <v>-</v>
      </c>
      <c r="O15" s="266"/>
      <c r="P15" s="78" t="str" cm="1">
        <f t="array" ref="P15">IFERROR(_xlfn.IFS(P$7="DB",DB!$O44,P$7="BT",BT!$O44,P$7="DBO",DBO!$O44,P$7="BTO",BTO!$O44,P$7="BOT/BOO",BOT・BOO!$O44),"-")</f>
        <v>-</v>
      </c>
      <c r="Q15" s="78" t="str" cm="1">
        <f t="array" ref="Q15">IFERROR(_xlfn.IFS(P$7="DB",DB!$P44,P$7="BT",BT!$P44,P$7="DBO",DBO!$P44,P$7="BTO",BTO!$P44,P$7="BOT/BOO",BOT・BOO!$P44),"-")</f>
        <v>-</v>
      </c>
      <c r="R15" s="266"/>
      <c r="S15" s="78" t="str" cm="1">
        <f t="array" ref="S15">IFERROR(_xlfn.IFS(S$7="DB",DB!$O44,S$7="BT",BT!$O44,S$7="DBO",DBO!$O44,S$7="BTO",BTO!$O44,S$7="BOT/BOO",BOT・BOO!$O44),"-")</f>
        <v>-</v>
      </c>
      <c r="T15" s="78" t="str" cm="1">
        <f t="array" ref="T15">IFERROR(_xlfn.IFS(S$7="DB",DB!$P44,S$7="BT",BT!$P44,S$7="DBO",DBO!$P44,S$7="BTO",BTO!$P44,S$7="BOT/BOO",BOT・BOO!$P44),"-")</f>
        <v>-</v>
      </c>
      <c r="Y15" s="75"/>
      <c r="Z15" s="75"/>
      <c r="AJ15" s="183"/>
    </row>
    <row r="16" spans="1:36">
      <c r="B16" s="75" t="s">
        <v>92</v>
      </c>
      <c r="X16" s="75" t="s">
        <v>15</v>
      </c>
      <c r="Z16" s="75"/>
      <c r="AJ16" s="183"/>
    </row>
    <row r="17" spans="2:36">
      <c r="B17" s="75"/>
      <c r="C17" s="75" t="s">
        <v>95</v>
      </c>
      <c r="D17" s="75"/>
      <c r="G17" s="203" t="s">
        <v>0</v>
      </c>
      <c r="H17" s="203" t="s">
        <v>1</v>
      </c>
      <c r="J17" s="203" t="s">
        <v>0</v>
      </c>
      <c r="K17" s="203" t="s">
        <v>1</v>
      </c>
      <c r="M17" s="203" t="s">
        <v>0</v>
      </c>
      <c r="N17" s="203" t="s">
        <v>1</v>
      </c>
      <c r="P17" s="203" t="s">
        <v>0</v>
      </c>
      <c r="Q17" s="203" t="s">
        <v>1</v>
      </c>
      <c r="S17" s="203" t="s">
        <v>0</v>
      </c>
      <c r="T17" s="203" t="s">
        <v>1</v>
      </c>
      <c r="Y17" s="75" t="s">
        <v>90</v>
      </c>
      <c r="Z17" s="75" t="s">
        <v>6</v>
      </c>
      <c r="AA17" s="79" cm="1">
        <f t="array" ref="AA17">IFERROR(_xlfn.IFS(G$7="DB",DB!$Y11,G$7="BT",BT!$Y11,G$7="DBO",DBO!$Y11,G$7="BTO",BTO!$Y11,G$7="BOT/BOO",BOT・BOO!$Y11),"-")</f>
        <v>4.085683941905198E-2</v>
      </c>
      <c r="AC17" s="79" t="str" cm="1">
        <f t="array" ref="AC17">IFERROR(_xlfn.IFS(J$7="DB",DB!$Y11,J$7="BT",BT!$Y11,J$7="DBO",DBO!$Y11,J$7="BTO",BTO!$Y11,J$7="BOT/BOO",BOT・BOO!$Y11),"-")</f>
        <v>-</v>
      </c>
      <c r="AE17" s="213" t="str" cm="1">
        <f t="array" ref="AE17">IFERROR(_xlfn.IFS(M$7="DB",DB!$Y11,M$7="BT",BT!$Y11,M$7="DBO",DBO!$Y11,M$7="BTO",BTO!$Y11,M$7="BOT/BOO",BOT・BOO!$Y11),"-")</f>
        <v>-</v>
      </c>
      <c r="AF17" s="77"/>
      <c r="AG17" s="213" t="str" cm="1">
        <f t="array" ref="AG17">IFERROR(_xlfn.IFS(P$7="DB",DB!$Y11,P$7="BT",BT!$Y11,P$7="DBO",DBO!$Y11,P$7="BTO",BTO!$Y11,P$7="BOT/BOO",BOT・BOO!$Y11),"-")</f>
        <v>-</v>
      </c>
      <c r="AH17" s="77"/>
      <c r="AI17" s="213" t="str" cm="1">
        <f t="array" ref="AI17">IFERROR(_xlfn.IFS(S$7="DB",DB!$Y11,S$7="BT",BT!$Y11,S$7="DBO",DBO!$Y11,S$7="BTO",BTO!$Y11,S$7="BOT/BOO",BOT・BOO!$Y11),"-")</f>
        <v>-</v>
      </c>
      <c r="AJ17" s="183"/>
    </row>
    <row r="18" spans="2:36">
      <c r="D18" s="75"/>
      <c r="E18" s="77" t="s">
        <v>208</v>
      </c>
      <c r="F18" s="74" t="s">
        <v>6</v>
      </c>
      <c r="G18" s="79" cm="1">
        <f t="array" ref="G18">IFERROR(_xlfn.IFS(G$7="DB",DB!$E32,G$7="BT",BT!$E32,G$7="DBO",DBO!$E32,G$7="BTO",BTO!$E32,G$7="BOT/BOO",BOT・BOO!$E32),"-")</f>
        <v>1</v>
      </c>
      <c r="H18" s="79" cm="1">
        <f t="array" ref="H18">IFERROR(_xlfn.IFS(G$7="DB",DB!$F32,G$7="BT",BT!$F32,G$7="DBO",DBO!$F32,G$7="BTO",BTO!$F32,G$7="BOT/BOO",BOT・BOO!$F32),"-")</f>
        <v>1</v>
      </c>
      <c r="J18" s="79" t="str" cm="1">
        <f t="array" ref="J18">IFERROR(_xlfn.IFS(J$7="DB",DB!$E32,J$7="BT",BT!$E32,J$7="DBO",DBO!$E32,J$7="BTO",BTO!$E32,J$7="BOT/BOO",BOT・BOO!$E32),"-")</f>
        <v>-</v>
      </c>
      <c r="K18" s="79" t="str" cm="1">
        <f t="array" ref="K18">IFERROR(_xlfn.IFS(J$7="DB",DB!$F32,J$7="BT",BT!$F32,J$7="DBO",DBO!$F32,J$7="BTO",BTO!$F32,J$7="BOT/BOO",BOT・BOO!$F32),"-")</f>
        <v>-</v>
      </c>
      <c r="M18" s="79" t="str" cm="1">
        <f t="array" ref="M18">IFERROR(_xlfn.IFS(M$7="DB",DB!$E32,M$7="BT",BT!$E32,M$7="DBO",DBO!$E32,M$7="BTO",BTO!$E32,M$7="BOT/BOO",BOT・BOO!$E32),"-")</f>
        <v>-</v>
      </c>
      <c r="N18" s="79" t="str" cm="1">
        <f t="array" ref="N18">IFERROR(_xlfn.IFS(M$7="DB",DB!$F32,M$7="BT",BT!$F32,M$7="DBO",DBO!$F32,M$7="BTO",BTO!$F32,M$7="BOT/BOO",BOT・BOO!$F32),"-")</f>
        <v>-</v>
      </c>
      <c r="O18" s="77"/>
      <c r="P18" s="79" t="str" cm="1">
        <f t="array" ref="P18">IFERROR(_xlfn.IFS(P$7="DB",DB!$E32,P$7="BT",BT!$E32,P$7="DBO",DBO!$E32,P$7="BTO",BTO!$E32,P$7="BOT/BOO",BOT・BOO!$E32),"-")</f>
        <v>-</v>
      </c>
      <c r="Q18" s="79" t="str" cm="1">
        <f t="array" ref="Q18">IFERROR(_xlfn.IFS(P$7="DB",DB!$F32,P$7="BT",BT!$F32,P$7="DBO",DBO!$F32,P$7="BTO",BTO!$F32,P$7="BOT/BOO",BOT・BOO!$F32),"-")</f>
        <v>-</v>
      </c>
      <c r="R18" s="77"/>
      <c r="S18" s="79" t="str" cm="1">
        <f t="array" ref="S18">IFERROR(_xlfn.IFS(S$7="DB",DB!$E32,S$7="BT",BT!$E32,S$7="DBO",DBO!$E32,S$7="BTO",BTO!$E32,S$7="BOT/BOO",BOT・BOO!$E32),"-")</f>
        <v>-</v>
      </c>
      <c r="T18" s="79" t="str" cm="1">
        <f t="array" ref="T18">IFERROR(_xlfn.IFS(S$7="DB",DB!$F32,S$7="BT",BT!$F32,S$7="DBO",DBO!$F32,S$7="BTO",BTO!$F32,S$7="BOT/BOO",BOT・BOO!$F32),"-")</f>
        <v>-</v>
      </c>
      <c r="AJ18" s="183"/>
    </row>
    <row r="19" spans="2:36">
      <c r="C19" s="75"/>
      <c r="D19" s="75"/>
      <c r="E19" s="77" t="s">
        <v>209</v>
      </c>
      <c r="F19" s="74" t="s">
        <v>6</v>
      </c>
      <c r="G19" s="79" cm="1">
        <f t="array" ref="G19">IFERROR(_xlfn.IFS(G$7="DB",DB!$E33,G$7="BT",BT!$E33,G$7="DBO",DBO!$E33,G$7="BTO",BTO!$E33,G$7="BOT/BOO",BOT・BOO!$E33),"-")</f>
        <v>0</v>
      </c>
      <c r="H19" s="79" cm="1">
        <f t="array" ref="H19">IFERROR(_xlfn.IFS(G$7="DB",DB!$F33,G$7="BT",BT!$F33,G$7="DBO",DBO!$F33,G$7="BTO",BTO!$F33,G$7="BOT/BOO",BOT・BOO!$F33),"-")</f>
        <v>0</v>
      </c>
      <c r="J19" s="79" t="str" cm="1">
        <f t="array" ref="J19">IFERROR(_xlfn.IFS(J$7="DB",DB!$E33,J$7="BT",BT!$E33,J$7="DBO",DBO!$E33,J$7="BTO",BTO!$E33,J$7="BOT/BOO",BOT・BOO!$E33),"-")</f>
        <v>-</v>
      </c>
      <c r="K19" s="79" t="str" cm="1">
        <f t="array" ref="K19">IFERROR(_xlfn.IFS(J$7="DB",DB!$F33,J$7="BT",BT!$F33,J$7="DBO",DBO!$F33,J$7="BTO",BTO!$F33,J$7="BOT/BOO",BOT・BOO!$F33),"-")</f>
        <v>-</v>
      </c>
      <c r="M19" s="79" t="str" cm="1">
        <f t="array" ref="M19">IFERROR(_xlfn.IFS(M$7="DB",DB!$E33,M$7="BT",BT!$E33,M$7="DBO",DBO!$E33,M$7="BTO",BTO!$E33,M$7="BOT/BOO",BOT・BOO!$E33),"-")</f>
        <v>-</v>
      </c>
      <c r="N19" s="79" t="str" cm="1">
        <f t="array" ref="N19">IFERROR(_xlfn.IFS(M$7="DB",DB!$F33,M$7="BT",BT!$F33,M$7="DBO",DBO!$F33,M$7="BTO",BTO!$F33,M$7="BOT/BOO",BOT・BOO!$F33),"-")</f>
        <v>-</v>
      </c>
      <c r="O19" s="77"/>
      <c r="P19" s="79" t="str" cm="1">
        <f t="array" ref="P19">IFERROR(_xlfn.IFS(P$7="DB",DB!$E33,P$7="BT",BT!$E33,P$7="DBO",DBO!$E33,P$7="BTO",BTO!$E33,P$7="BOT/BOO",BOT・BOO!$E33),"-")</f>
        <v>-</v>
      </c>
      <c r="Q19" s="79" t="str" cm="1">
        <f t="array" ref="Q19">IFERROR(_xlfn.IFS(P$7="DB",DB!$F33,P$7="BT",BT!$F33,P$7="DBO",DBO!$F33,P$7="BTO",BTO!$F33,P$7="BOT/BOO",BOT・BOO!$F33),"-")</f>
        <v>-</v>
      </c>
      <c r="R19" s="77"/>
      <c r="S19" s="79" t="str" cm="1">
        <f t="array" ref="S19">IFERROR(_xlfn.IFS(S$7="DB",DB!$E33,S$7="BT",BT!$E33,S$7="DBO",DBO!$E33,S$7="BTO",BTO!$E33,S$7="BOT/BOO",BOT・BOO!$E33),"-")</f>
        <v>-</v>
      </c>
      <c r="T19" s="79" t="str" cm="1">
        <f t="array" ref="T19">IFERROR(_xlfn.IFS(S$7="DB",DB!$F33,S$7="BT",BT!$F33,S$7="DBO",DBO!$F33,S$7="BTO",BTO!$F33,S$7="BOT/BOO",BOT・BOO!$F33),"-")</f>
        <v>-</v>
      </c>
    </row>
    <row r="20" spans="2:36">
      <c r="C20" s="75" t="s">
        <v>93</v>
      </c>
      <c r="D20" s="75"/>
      <c r="G20" s="203" t="s">
        <v>0</v>
      </c>
      <c r="H20" s="203" t="s">
        <v>1</v>
      </c>
      <c r="J20" s="203" t="s">
        <v>0</v>
      </c>
      <c r="K20" s="203" t="s">
        <v>1</v>
      </c>
      <c r="M20" s="203" t="s">
        <v>0</v>
      </c>
      <c r="N20" s="203" t="s">
        <v>1</v>
      </c>
      <c r="P20" s="203" t="s">
        <v>0</v>
      </c>
      <c r="Q20" s="203" t="s">
        <v>1</v>
      </c>
      <c r="S20" s="203" t="s">
        <v>0</v>
      </c>
      <c r="T20" s="203" t="s">
        <v>1</v>
      </c>
      <c r="X20" s="201"/>
    </row>
    <row r="21" spans="2:36">
      <c r="C21" s="75"/>
      <c r="D21" s="75" t="s">
        <v>210</v>
      </c>
      <c r="F21" s="74" t="s">
        <v>8</v>
      </c>
      <c r="G21" s="78" cm="1">
        <f t="array" ref="G21">IFERROR(_xlfn.IFS(G$7="DB",DB!$O61,G$7="BT",BT!$O61,G$7="DBO",DBO!$O61,G$7="BTO",BTO!$O61,G$7="BOT/BOO",BOT・BOO!$O61),"-")</f>
        <v>1140</v>
      </c>
      <c r="H21" s="78" cm="1">
        <f t="array" ref="H21">IFERROR(_xlfn.IFS(G$7="DB",DB!$P61,G$7="BT",BT!$P61,G$7="DBO",DBO!$P61,G$7="BTO",BTO!$P61,G$7="BOT/BOO",BOT・BOO!$P61),"-")</f>
        <v>1080</v>
      </c>
      <c r="J21" s="78" t="str" cm="1">
        <f t="array" ref="J21">IFERROR(_xlfn.IFS(J$7="DB",DB!$O61,J$7="BT",BT!$O61,J$7="DBO",DBO!$O61,J$7="BTO",BTO!$O61,J$7="BOT/BOO",BOT・BOO!$O61),"-")</f>
        <v>-</v>
      </c>
      <c r="K21" s="78" t="str" cm="1">
        <f t="array" ref="K21">IFERROR(_xlfn.IFS(J$7="DB",DB!$P61,J$7="BT",BT!$P61,J$7="DBO",DBO!$P61,J$7="BTO",BTO!$P61,J$7="BOT/BOO",BOT・BOO!$P61),"-")</f>
        <v>-</v>
      </c>
      <c r="M21" s="78" t="str" cm="1">
        <f t="array" ref="M21">IFERROR(_xlfn.IFS(M$7="DB",DB!$O61,M$7="BT",BT!$O61,M$7="DBO",DBO!$O61,M$7="BTO",BTO!$O61,M$7="BOT/BOO",BOT・BOO!$O61),"-")</f>
        <v>-</v>
      </c>
      <c r="N21" s="78" t="str" cm="1">
        <f t="array" ref="N21">IFERROR(_xlfn.IFS(M$7="DB",DB!$P61,M$7="BT",BT!$P61,M$7="DBO",DBO!$P61,M$7="BTO",BTO!$P61,M$7="BOT/BOO",BOT・BOO!$P61),"-")</f>
        <v>-</v>
      </c>
      <c r="P21" s="78" t="str" cm="1">
        <f t="array" ref="P21">IFERROR(_xlfn.IFS(P$7="DB",DB!$O61,P$7="BT",BT!$O61,P$7="DBO",DBO!$O61,P$7="BTO",BTO!$O61,P$7="BOT/BOO",BOT・BOO!$O61),"-")</f>
        <v>-</v>
      </c>
      <c r="Q21" s="78" t="str" cm="1">
        <f t="array" ref="Q21">IFERROR(_xlfn.IFS(P$7="DB",DB!$P61,P$7="BT",BT!$P61,P$7="DBO",DBO!$P61,P$7="BTO",BTO!$P61,P$7="BOT/BOO",BOT・BOO!$P61),"-")</f>
        <v>-</v>
      </c>
      <c r="S21" s="78" t="str" cm="1">
        <f t="array" ref="S21">IFERROR(_xlfn.IFS(S$7="DB",DB!$O61,S$7="BT",BT!$O61,S$7="DBO",DBO!$O61,S$7="BTO",BTO!$O61,S$7="BOT/BOO",BOT・BOO!$O61),"-")</f>
        <v>-</v>
      </c>
      <c r="T21" s="78" t="str" cm="1">
        <f t="array" ref="T21">IFERROR(_xlfn.IFS(S$7="DB",DB!$P61,S$7="BT",BT!$P61,S$7="DBO",DBO!$P61,S$7="BTO",BTO!$P61,S$7="BOT/BOO",BOT・BOO!$P61),"-")</f>
        <v>-</v>
      </c>
    </row>
    <row r="22" spans="2:36">
      <c r="D22" s="75" t="s">
        <v>211</v>
      </c>
      <c r="F22" s="74" t="s">
        <v>8</v>
      </c>
      <c r="G22" s="78" cm="1">
        <f t="array" ref="G22">IFERROR(_xlfn.IFS(G$7="DB",DB!$O62,G$7="BT",BT!$O62,G$7="DBO",DBO!$O62,G$7="BTO",BTO!$O62,G$7="BOT/BOO",BOT・BOO!$O62),"-")</f>
        <v>1282.5</v>
      </c>
      <c r="H22" s="78" cm="1">
        <f t="array" ref="H22">IFERROR(_xlfn.IFS(G$7="DB",DB!$P62,G$7="BT",BT!$P62,G$7="DBO",DBO!$P62,G$7="BTO",BTO!$P62,G$7="BOT/BOO",BOT・BOO!$P62),"-")</f>
        <v>1215</v>
      </c>
      <c r="J22" s="78" t="str" cm="1">
        <f t="array" ref="J22">IFERROR(_xlfn.IFS(J$7="DB",DB!$O62,J$7="BT",BT!$O62,J$7="DBO",DBO!$O62,J$7="BTO",BTO!$O62,J$7="BOT/BOO",BOT・BOO!$O62),"-")</f>
        <v>-</v>
      </c>
      <c r="K22" s="78" t="str" cm="1">
        <f t="array" ref="K22">IFERROR(_xlfn.IFS(J$7="DB",DB!$P62,J$7="BT",BT!$P62,J$7="DBO",DBO!$P62,J$7="BTO",BTO!$P62,J$7="BOT/BOO",BOT・BOO!$P62),"-")</f>
        <v>-</v>
      </c>
      <c r="M22" s="78" t="str" cm="1">
        <f t="array" ref="M22">IFERROR(_xlfn.IFS(M$7="DB",DB!$O62,M$7="BT",BT!$O62,M$7="DBO",DBO!$O62,M$7="BTO",BTO!$O62,M$7="BOT/BOO",BOT・BOO!$O62),"-")</f>
        <v>-</v>
      </c>
      <c r="N22" s="78" t="str" cm="1">
        <f t="array" ref="N22">IFERROR(_xlfn.IFS(M$7="DB",DB!$P62,M$7="BT",BT!$P62,M$7="DBO",DBO!$P62,M$7="BTO",BTO!$P62,M$7="BOT/BOO",BOT・BOO!$P62),"-")</f>
        <v>-</v>
      </c>
      <c r="P22" s="78" t="str" cm="1">
        <f t="array" ref="P22">IFERROR(_xlfn.IFS(P$7="DB",DB!$O62,P$7="BT",BT!$O62,P$7="DBO",DBO!$O62,P$7="BTO",BTO!$O62,P$7="BOT/BOO",BOT・BOO!$O62),"-")</f>
        <v>-</v>
      </c>
      <c r="Q22" s="78" t="str" cm="1">
        <f t="array" ref="Q22">IFERROR(_xlfn.IFS(P$7="DB",DB!$P62,P$7="BT",BT!$P62,P$7="DBO",DBO!$P62,P$7="BTO",BTO!$P62,P$7="BOT/BOO",BOT・BOO!$P62),"-")</f>
        <v>-</v>
      </c>
      <c r="S22" s="78" t="str" cm="1">
        <f t="array" ref="S22">IFERROR(_xlfn.IFS(S$7="DB",DB!$O62,S$7="BT",BT!$O62,S$7="DBO",DBO!$O62,S$7="BTO",BTO!$O62,S$7="BOT/BOO",BOT・BOO!$O62),"-")</f>
        <v>-</v>
      </c>
      <c r="T22" s="78" t="str" cm="1">
        <f t="array" ref="T22">IFERROR(_xlfn.IFS(S$7="DB",DB!$P62,S$7="BT",BT!$P62,S$7="DBO",DBO!$P62,S$7="BTO",BTO!$P62,S$7="BOT/BOO",BOT・BOO!$P62),"-")</f>
        <v>-</v>
      </c>
    </row>
    <row r="23" spans="2:36">
      <c r="D23" s="75" t="s">
        <v>212</v>
      </c>
      <c r="F23" s="74" t="s">
        <v>8</v>
      </c>
      <c r="G23" s="78" cm="1">
        <f t="array" ref="G23">IFERROR(_xlfn.IFS(G$7="DB",DB!$O63,G$7="BT",BT!$O63,G$7="DBO",DBO!$O63,G$7="BTO",BTO!$O63,G$7="BOT/BOO",BOT・BOO!$O63),"-")</f>
        <v>384.75</v>
      </c>
      <c r="H23" s="78" cm="1">
        <f t="array" ref="H23">IFERROR(_xlfn.IFS(G$7="DB",DB!$P63,G$7="BT",BT!$P63,G$7="DBO",DBO!$P63,G$7="BTO",BTO!$P63,G$7="BOT/BOO",BOT・BOO!$P63),"-")</f>
        <v>364.5</v>
      </c>
      <c r="J23" s="78" t="str" cm="1">
        <f t="array" ref="J23">IFERROR(_xlfn.IFS(J$7="DB",DB!$O63,J$7="BT",BT!$O63,J$7="DBO",DBO!$O63,J$7="BTO",BTO!$O63,J$7="BOT/BOO",BOT・BOO!$O63),"-")</f>
        <v>-</v>
      </c>
      <c r="K23" s="78" t="str" cm="1">
        <f t="array" ref="K23">IFERROR(_xlfn.IFS(J$7="DB",DB!$P63,J$7="BT",BT!$P63,J$7="DBO",DBO!$P63,J$7="BTO",BTO!$P63,J$7="BOT/BOO",BOT・BOO!$P63),"-")</f>
        <v>-</v>
      </c>
      <c r="M23" s="78" t="str" cm="1">
        <f t="array" ref="M23">IFERROR(_xlfn.IFS(M$7="DB",DB!$O63,M$7="BT",BT!$O63,M$7="DBO",DBO!$O63,M$7="BTO",BTO!$O63,M$7="BOT/BOO",BOT・BOO!$O63),"-")</f>
        <v>-</v>
      </c>
      <c r="N23" s="78" t="str" cm="1">
        <f t="array" ref="N23">IFERROR(_xlfn.IFS(M$7="DB",DB!$P63,M$7="BT",BT!$P63,M$7="DBO",DBO!$P63,M$7="BTO",BTO!$P63,M$7="BOT/BOO",BOT・BOO!$P63),"-")</f>
        <v>-</v>
      </c>
      <c r="P23" s="78" t="str" cm="1">
        <f t="array" ref="P23">IFERROR(_xlfn.IFS(P$7="DB",DB!$O63,P$7="BT",BT!$O63,P$7="DBO",DBO!$O63,P$7="BTO",BTO!$O63,P$7="BOT/BOO",BOT・BOO!$O63),"-")</f>
        <v>-</v>
      </c>
      <c r="Q23" s="78" t="str" cm="1">
        <f t="array" ref="Q23">IFERROR(_xlfn.IFS(P$7="DB",DB!$P63,P$7="BT",BT!$P63,P$7="DBO",DBO!$P63,P$7="BTO",BTO!$P63,P$7="BOT/BOO",BOT・BOO!$P63),"-")</f>
        <v>-</v>
      </c>
      <c r="S23" s="78" t="str" cm="1">
        <f t="array" ref="S23">IFERROR(_xlfn.IFS(S$7="DB",DB!$O63,S$7="BT",BT!$O63,S$7="DBO",DBO!$O63,S$7="BTO",BTO!$O63,S$7="BOT/BOO",BOT・BOO!$O63),"-")</f>
        <v>-</v>
      </c>
      <c r="T23" s="78" t="str" cm="1">
        <f t="array" ref="T23">IFERROR(_xlfn.IFS(S$7="DB",DB!$P63,S$7="BT",BT!$P63,S$7="DBO",DBO!$P63,S$7="BTO",BTO!$P63,S$7="BOT/BOO",BOT・BOO!$P63),"-")</f>
        <v>-</v>
      </c>
    </row>
    <row r="24" spans="2:36">
      <c r="D24" s="75" t="s">
        <v>213</v>
      </c>
      <c r="F24" s="74" t="s">
        <v>8</v>
      </c>
      <c r="G24" s="78" cm="1">
        <f t="array" ref="G24">IFERROR(_xlfn.IFS(G$7="DB",DB!$O64,G$7="BT",BT!$O64,G$7="DBO",DBO!$O64,G$7="BTO",BTO!$O64,G$7="BOT/BOO",BOT・BOO!$O64),"-")</f>
        <v>64.125</v>
      </c>
      <c r="H24" s="78" cm="1">
        <f t="array" ref="H24">IFERROR(_xlfn.IFS(G$7="DB",DB!$P64,G$7="BT",BT!$P64,G$7="DBO",DBO!$P64,G$7="BTO",BTO!$P64,G$7="BOT/BOO",BOT・BOO!$P64),"-")</f>
        <v>60.75</v>
      </c>
      <c r="J24" s="78" t="str" cm="1">
        <f t="array" ref="J24">IFERROR(_xlfn.IFS(J$7="DB",DB!$O64,J$7="BT",BT!$O64,J$7="DBO",DBO!$O64,J$7="BTO",BTO!$O64,J$7="BOT/BOO",BOT・BOO!$O64),"-")</f>
        <v>-</v>
      </c>
      <c r="K24" s="78" t="str" cm="1">
        <f t="array" ref="K24">IFERROR(_xlfn.IFS(J$7="DB",DB!$P64,J$7="BT",BT!$P64,J$7="DBO",DBO!$P64,J$7="BTO",BTO!$P64,J$7="BOT/BOO",BOT・BOO!$P64),"-")</f>
        <v>-</v>
      </c>
      <c r="M24" s="78" t="str" cm="1">
        <f t="array" ref="M24">IFERROR(_xlfn.IFS(M$7="DB",DB!$O64,M$7="BT",BT!$O64,M$7="DBO",DBO!$O64,M$7="BTO",BTO!$O64,M$7="BOT/BOO",BOT・BOO!$O64),"-")</f>
        <v>-</v>
      </c>
      <c r="N24" s="78" t="str" cm="1">
        <f t="array" ref="N24">IFERROR(_xlfn.IFS(M$7="DB",DB!$P64,M$7="BT",BT!$P64,M$7="DBO",DBO!$P64,M$7="BTO",BTO!$P64,M$7="BOT/BOO",BOT・BOO!$P64),"-")</f>
        <v>-</v>
      </c>
      <c r="P24" s="78" t="str" cm="1">
        <f t="array" ref="P24">IFERROR(_xlfn.IFS(P$7="DB",DB!$O64,P$7="BT",BT!$O64,P$7="DBO",DBO!$O64,P$7="BTO",BTO!$O64,P$7="BOT/BOO",BOT・BOO!$O64),"-")</f>
        <v>-</v>
      </c>
      <c r="Q24" s="78" t="str" cm="1">
        <f t="array" ref="Q24">IFERROR(_xlfn.IFS(P$7="DB",DB!$P64,P$7="BT",BT!$P64,P$7="DBO",DBO!$P64,P$7="BTO",BTO!$P64,P$7="BOT/BOO",BOT・BOO!$P64),"-")</f>
        <v>-</v>
      </c>
      <c r="S24" s="78" t="str" cm="1">
        <f t="array" ref="S24">IFERROR(_xlfn.IFS(S$7="DB",DB!$O64,S$7="BT",BT!$O64,S$7="DBO",DBO!$O64,S$7="BTO",BTO!$O64,S$7="BOT/BOO",BOT・BOO!$O64),"-")</f>
        <v>-</v>
      </c>
      <c r="T24" s="78" t="str" cm="1">
        <f t="array" ref="T24">IFERROR(_xlfn.IFS(S$7="DB",DB!$P64,S$7="BT",BT!$P64,S$7="DBO",DBO!$P64,S$7="BTO",BTO!$P64,S$7="BOT/BOO",BOT・BOO!$P64),"-")</f>
        <v>-</v>
      </c>
    </row>
    <row r="25" spans="2:36">
      <c r="C25" s="75" t="s">
        <v>94</v>
      </c>
    </row>
    <row r="26" spans="2:36">
      <c r="G26" s="80" cm="1">
        <f t="array" ref="G26">IFERROR(_xlfn.IFS(G$7="DB",DB!$F65,G$7="BT",BT!$F65,G$7="DBO",DBO!$F65,G$7="BTO",BTO!$F65,G$7="BOT/BOO",BOT・BOO!$F65),"-")</f>
        <v>1.4999999999999999E-2</v>
      </c>
      <c r="H26" s="81"/>
      <c r="J26" s="80" t="str" cm="1">
        <f t="array" ref="J26">IFERROR(_xlfn.IFS(J$7="DB",DB!$F65,J$7="BT",BT!$F65,J$7="DBO",DBO!$F65,J$7="BTO",BTO!$F65,J$7="BOT/BOO",BOT・BOO!$F65),"-")</f>
        <v>-</v>
      </c>
      <c r="K26" s="81"/>
      <c r="M26" s="80" t="str" cm="1">
        <f t="array" ref="M26">IFERROR(_xlfn.IFS(M$7="DB",DB!$F65,M$7="BT",BT!$F65,M$7="DBO",DBO!$F65,M$7="BTO",BTO!$F65,M$7="BOT/BOO",BOT・BOO!$F65),"-")</f>
        <v>-</v>
      </c>
      <c r="N26" s="81"/>
      <c r="P26" s="80" t="str" cm="1">
        <f t="array" ref="P26">IFERROR(_xlfn.IFS(P$7="DB",DB!$F65,P$7="BT",BT!$F65,P$7="DBO",DBO!$F65,P$7="BTO",BTO!$F65,P$7="BOT/BOO",BOT・BOO!$F65),"-")</f>
        <v>-</v>
      </c>
      <c r="Q26" s="81"/>
      <c r="S26" s="80" t="str" cm="1">
        <f t="array" ref="S26">IFERROR(_xlfn.IFS(S$7="DB",DB!$F65,S$7="BT",BT!$F65,S$7="DBO",DBO!$F65,S$7="BTO",BTO!$F65,S$7="BOT/BOO",BOT・BOO!$F65),"-")</f>
        <v>-</v>
      </c>
      <c r="T26" s="81"/>
    </row>
    <row r="27" spans="2:36">
      <c r="C27" s="75" t="s">
        <v>96</v>
      </c>
      <c r="G27" s="203" t="s">
        <v>0</v>
      </c>
      <c r="H27" s="203" t="s">
        <v>1</v>
      </c>
      <c r="J27" s="203" t="s">
        <v>0</v>
      </c>
      <c r="K27" s="203" t="s">
        <v>1</v>
      </c>
      <c r="M27" s="203" t="s">
        <v>0</v>
      </c>
      <c r="N27" s="203" t="s">
        <v>1</v>
      </c>
      <c r="P27" s="203" t="s">
        <v>0</v>
      </c>
      <c r="Q27" s="203" t="s">
        <v>1</v>
      </c>
      <c r="S27" s="203" t="s">
        <v>0</v>
      </c>
      <c r="T27" s="203" t="s">
        <v>1</v>
      </c>
    </row>
    <row r="28" spans="2:36">
      <c r="E28" s="74" t="s">
        <v>10</v>
      </c>
      <c r="F28" s="74" t="s">
        <v>6</v>
      </c>
      <c r="G28" s="204"/>
      <c r="H28" s="82" cm="1">
        <f t="array" ref="H28">IFERROR(_xlfn.IFS(G$7="DB",DB!$F35,G$7="BT",BT!$F35,G$7="DBO",DBO!$F35,G$7="BTO",BTO!$F35,G$7="BOT/BOO",BOT・BOO!$F35),"-")</f>
        <v>0</v>
      </c>
      <c r="I28" s="205"/>
      <c r="J28" s="204"/>
      <c r="K28" s="82" t="str" cm="1">
        <f t="array" ref="K28">IFERROR(_xlfn.IFS(J$7="DB",DB!$F35,J$7="BT",BT!$F35,J$7="DBO",DBO!$F35,J$7="BTO",BTO!$F35,J$7="BOT/BOO",BOT・BOO!$F35),"-")</f>
        <v>-</v>
      </c>
      <c r="L28" s="205"/>
      <c r="M28" s="204"/>
      <c r="N28" s="82" t="str" cm="1">
        <f t="array" ref="N28">IFERROR(_xlfn.IFS(M$7="DB",DB!$F35,M$7="BT",BT!$F35,M$7="DBO",DBO!$F35,M$7="BTO",BTO!$F35,M$7="BOT/BOO",BOT・BOO!$F35),"-")</f>
        <v>-</v>
      </c>
      <c r="O28" s="205"/>
      <c r="P28" s="204"/>
      <c r="Q28" s="82" t="str" cm="1">
        <f t="array" ref="Q28">IFERROR(_xlfn.IFS(P$7="DB",DB!$F35,P$7="BT",BT!$F35,P$7="DBO",DBO!$F35,P$7="BTO",BTO!$F35,P$7="BOT/BOO",BOT・BOO!$F35),"-")</f>
        <v>-</v>
      </c>
      <c r="R28" s="205"/>
      <c r="S28" s="204"/>
      <c r="T28" s="82" t="str" cm="1">
        <f t="array" ref="T28">IFERROR(_xlfn.IFS(S$7="DB",DB!$F35,S$7="BT",BT!$F35,S$7="DBO",DBO!$F35,S$7="BTO",BTO!$F35,S$7="BOT/BOO",BOT・BOO!$F35),"-")</f>
        <v>-</v>
      </c>
    </row>
    <row r="29" spans="2:36" ht="21" thickBot="1">
      <c r="E29" s="74" t="s">
        <v>11</v>
      </c>
      <c r="F29" s="74" t="s">
        <v>6</v>
      </c>
      <c r="G29" s="219"/>
      <c r="H29" s="220" cm="1">
        <f t="array" ref="H29">IFERROR(_xlfn.IFS(G$7="DB",SUM(DB!F36:F37),G$7="BT",SUM(BT!F36:F37),G$7="DBO",SUM(DBO!F36:F37),G$7="BTO",SUM(BTO!F36:F37),G$7="BOT/BOO",SUM(BOT・BOO!F36:F37)),"-")</f>
        <v>0</v>
      </c>
      <c r="I29" s="221"/>
      <c r="J29" s="219"/>
      <c r="K29" s="220" t="str" cm="1">
        <f t="array" ref="K29">IFERROR(_xlfn.IFS(J$7="DB",SUM(DB!F36:F37),J$7="BT",SUM(BT!F36:F37),J$7="DBO",SUM(DBO!F36:F37),J$7="BTO",SUM(BTO!F36:F37),J$7="BOT/BOO",SUM(BOT・BOO!F36:F37)),"-")</f>
        <v>-</v>
      </c>
      <c r="L29" s="221"/>
      <c r="M29" s="219"/>
      <c r="N29" s="220" t="str" cm="1">
        <f t="array" ref="N29">IFERROR(_xlfn.IFS(M$7="DB",SUM(DB!F36:F37),M$7="BT",SUM(BT!F36:F37),M$7="DBO",SUM(DBO!F36:F37),M$7="BTO",SUM(BTO!F36:F37),M$7="BOT/BOO",SUM(BOT・BOO!F36:F37)),"-")</f>
        <v>-</v>
      </c>
      <c r="O29" s="221"/>
      <c r="P29" s="219"/>
      <c r="Q29" s="220" t="str" cm="1">
        <f t="array" ref="Q29">IFERROR(_xlfn.IFS(P$7="DB",SUM(DB!F36:F37),P$7="BT",SUM(BT!F36:F37),P$7="DBO",SUM(DBO!F36:F37),P$7="BTO",SUM(BTO!F36:F37),P$7="BOT/BOO",SUM(BOT・BOO!F36:F37)),"-")</f>
        <v>-</v>
      </c>
      <c r="R29" s="221"/>
      <c r="S29" s="219"/>
      <c r="T29" s="220" t="str" cm="1">
        <f t="array" ref="T29">IFERROR(_xlfn.IFS(S$7="DB",SUM(DB!F36:F37),S$7="BT",SUM(BT!F36:F37),S$7="DBO",SUM(DBO!F36:F37),S$7="BTO",SUM(BTO!F36:F37),S$7="BOT/BOO",SUM(BOT・BOO!F36:F37)),"-")</f>
        <v>-</v>
      </c>
    </row>
    <row r="30" spans="2:36" ht="21" thickBot="1">
      <c r="E30" s="74" t="s">
        <v>97</v>
      </c>
      <c r="F30" s="74" t="s">
        <v>6</v>
      </c>
      <c r="G30" s="206"/>
      <c r="H30" s="207">
        <f>SUM(H28:H29)</f>
        <v>0</v>
      </c>
      <c r="I30" s="205"/>
      <c r="J30" s="206"/>
      <c r="K30" s="207">
        <f>SUM(K28:K29)</f>
        <v>0</v>
      </c>
      <c r="L30" s="205"/>
      <c r="M30" s="206"/>
      <c r="N30" s="207">
        <f>SUM(N28:N29)</f>
        <v>0</v>
      </c>
      <c r="O30" s="205"/>
      <c r="P30" s="206"/>
      <c r="Q30" s="207">
        <f>SUM(Q28:Q29)</f>
        <v>0</v>
      </c>
      <c r="R30" s="205"/>
      <c r="S30" s="206"/>
      <c r="T30" s="223">
        <f>SUM(T28:T29)</f>
        <v>0</v>
      </c>
    </row>
    <row r="31" spans="2:36">
      <c r="B31" s="75" t="s">
        <v>173</v>
      </c>
    </row>
    <row r="32" spans="2:36">
      <c r="G32" s="203" t="s">
        <v>0</v>
      </c>
      <c r="H32" s="203" t="s">
        <v>1</v>
      </c>
      <c r="J32" s="203" t="s">
        <v>0</v>
      </c>
      <c r="K32" s="203" t="s">
        <v>1</v>
      </c>
      <c r="M32" s="203" t="s">
        <v>0</v>
      </c>
      <c r="N32" s="203" t="s">
        <v>1</v>
      </c>
      <c r="P32" s="203" t="s">
        <v>0</v>
      </c>
      <c r="Q32" s="203" t="s">
        <v>1</v>
      </c>
      <c r="S32" s="203" t="s">
        <v>0</v>
      </c>
      <c r="T32" s="203" t="s">
        <v>1</v>
      </c>
    </row>
    <row r="33" spans="1:20">
      <c r="C33" s="94" t="s">
        <v>164</v>
      </c>
      <c r="D33"/>
      <c r="F33" s="74" t="s">
        <v>8</v>
      </c>
      <c r="G33" s="132" cm="1">
        <f t="array" ref="G33">IFERROR(_xlfn.IFS(G$7="DB",DB!$F104,G$7="BT",BT!$F104,G$7="DBO",DBO!$F104,G$7="BTO",BTO!$F104,G$7="BOT/BOO",BOT・BOO!$F104),"-")</f>
        <v>0</v>
      </c>
      <c r="H33" s="133"/>
      <c r="J33" s="132" t="str" cm="1">
        <f t="array" ref="J33">IFERROR(_xlfn.IFS(J$7="DB",DB!$F104,J$7="BT",BT!$F104,J$7="DBO",DBO!$F104,J$7="BTO",BTO!$F104,J$7="BOT/BOO",BOT・BOO!$F104),"-")</f>
        <v>-</v>
      </c>
      <c r="K33" s="133"/>
      <c r="M33" s="132" t="str" cm="1">
        <f t="array" ref="M33">IFERROR(_xlfn.IFS(M$7="DB",DB!$F104,M$7="BT",BT!$F104,M$7="DBO",DBO!$F104,M$7="BTO",BTO!$F104,M$7="BOT/BOO",BOT・BOO!$F104),"-")</f>
        <v>-</v>
      </c>
      <c r="N33" s="133"/>
      <c r="P33" s="132" t="str" cm="1">
        <f t="array" ref="P33">IFERROR(_xlfn.IFS(P$7="DB",DB!$F104,P$7="BT",BT!$F104,P$7="DBO",DBO!$F104,P$7="BTO",BTO!$F104,P$7="BOT/BOO",BOT・BOO!$F104),"-")</f>
        <v>-</v>
      </c>
      <c r="Q33" s="133"/>
      <c r="S33" s="132" t="str" cm="1">
        <f t="array" ref="S33">IFERROR(_xlfn.IFS(S$7="DB",DB!$F104,S$7="BT",BT!$F104,S$7="DBO",DBO!$F104,S$7="BTO",BTO!$F104,S$7="BOT/BOO",BOT・BOO!$F104),"-")</f>
        <v>-</v>
      </c>
      <c r="T33" s="133"/>
    </row>
    <row r="34" spans="1:20">
      <c r="C34" s="94" t="s">
        <v>129</v>
      </c>
      <c r="D34"/>
      <c r="E34"/>
      <c r="F34" s="74" t="s">
        <v>8</v>
      </c>
      <c r="G34" s="132" cm="1">
        <f t="array" ref="G34">IFERROR(_xlfn.IFS(G$7="DB",DB!$F105,G$7="BT",BT!$F105,G$7="DBO",DBO!$F105,G$7="BTO",BTO!$F105,G$7="BOT/BOO",BOT・BOO!$F105),"-")</f>
        <v>0</v>
      </c>
      <c r="H34" s="202"/>
      <c r="J34" s="132" t="str" cm="1">
        <f t="array" ref="J34">IFERROR(_xlfn.IFS(J$7="DB",DB!$F105,J$7="BT",BT!$F105,J$7="DBO",DBO!$F105,J$7="BTO",BTO!$F105,J$7="BOT/BOO",BOT・BOO!$F105),"-")</f>
        <v>-</v>
      </c>
      <c r="K34" s="133"/>
      <c r="M34" s="132" t="str" cm="1">
        <f t="array" ref="M34">IFERROR(_xlfn.IFS(M$7="DB",DB!$F105,M$7="BT",BT!$F105,M$7="DBO",DBO!$F105,M$7="BTO",BTO!$F105,M$7="BOT/BOO",BOT・BOO!$F105),"-")</f>
        <v>-</v>
      </c>
      <c r="N34" s="133"/>
      <c r="P34" s="132" t="str" cm="1">
        <f t="array" ref="P34">IFERROR(_xlfn.IFS(P$7="DB",DB!$F105,P$7="BT",BT!$F105,P$7="DBO",DBO!$F105,P$7="BTO",BTO!$F105,P$7="BOT/BOO",BOT・BOO!$F105),"-")</f>
        <v>-</v>
      </c>
      <c r="Q34" s="133"/>
      <c r="S34" s="132" t="str" cm="1">
        <f t="array" ref="S34">IFERROR(_xlfn.IFS(S$7="DB",DB!$F105,S$7="BT",BT!$F105,S$7="DBO",DBO!$F105,S$7="BTO",BTO!$F105,S$7="BOT/BOO",BOT・BOO!$F105),"-")</f>
        <v>-</v>
      </c>
      <c r="T34" s="133"/>
    </row>
    <row r="35" spans="1:20">
      <c r="C35" s="94" t="s">
        <v>40</v>
      </c>
      <c r="D35"/>
      <c r="E35"/>
      <c r="F35" s="74" t="s">
        <v>8</v>
      </c>
      <c r="G35" s="132" cm="1">
        <f t="array" ref="G35">IFERROR(_xlfn.IFS(G$7="DB",DB!$F106,G$7="BT",BT!$F106,G$7="DBO",DBO!$F106,G$7="BTO",BTO!$F106,G$7="BOT/BOO",BOT・BOO!$F106),"-")</f>
        <v>0</v>
      </c>
      <c r="H35" s="133"/>
      <c r="J35" s="132" t="str" cm="1">
        <f t="array" ref="J35">IFERROR(_xlfn.IFS(J$7="DB",DB!$F106,J$7="BT",BT!$F106,J$7="DBO",DBO!$F106,J$7="BTO",BTO!$F106,J$7="BOT/BOO",BOT・BOO!$F106),"-")</f>
        <v>-</v>
      </c>
      <c r="K35" s="133"/>
      <c r="M35" s="132" t="str" cm="1">
        <f t="array" ref="M35">IFERROR(_xlfn.IFS(M$7="DB",DB!$F106,M$7="BT",BT!$F106,M$7="DBO",DBO!$F106,M$7="BTO",BTO!$F106,M$7="BOT/BOO",BOT・BOO!$F106),"-")</f>
        <v>-</v>
      </c>
      <c r="N35" s="133"/>
      <c r="P35" s="132" t="str" cm="1">
        <f t="array" ref="P35">IFERROR(_xlfn.IFS(P$7="DB",DB!$F106,P$7="BT",BT!$F106,P$7="DBO",DBO!$F106,P$7="BTO",BTO!$F106,P$7="BOT/BOO",BOT・BOO!$F106),"-")</f>
        <v>-</v>
      </c>
      <c r="Q35" s="133"/>
      <c r="S35" s="132" t="str" cm="1">
        <f t="array" ref="S35">IFERROR(_xlfn.IFS(S$7="DB",DB!$F106,S$7="BT",BT!$F106,S$7="DBO",DBO!$F106,S$7="BTO",BTO!$F106,S$7="BOT/BOO",BOT・BOO!$F106),"-")</f>
        <v>-</v>
      </c>
      <c r="T35" s="133"/>
    </row>
    <row r="36" spans="1:20">
      <c r="E36"/>
    </row>
    <row r="37" spans="1:20"/>
    <row r="38" spans="1:20">
      <c r="A38" s="74" t="s">
        <v>98</v>
      </c>
      <c r="B38" s="214" t="s">
        <v>234</v>
      </c>
    </row>
    <row r="39" spans="1:20">
      <c r="B39" s="75"/>
    </row>
    <row r="40" spans="1:20" s="76" customFormat="1"/>
    <row r="41" spans="1:20"/>
  </sheetData>
  <mergeCells count="5">
    <mergeCell ref="G7:H7"/>
    <mergeCell ref="J7:K7"/>
    <mergeCell ref="M7:N7"/>
    <mergeCell ref="P7:Q7"/>
    <mergeCell ref="S7:T7"/>
  </mergeCells>
  <phoneticPr fontId="2"/>
  <pageMargins left="0.7" right="0.7" top="0.75" bottom="0.75" header="0.3" footer="0.3"/>
  <pageSetup paperSize="8" scale="53"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C5100F4-990C-43A3-8D38-93C85C48617A}">
          <x14:formula1>
            <xm:f>【編集不可】リスト!$B$4:$B$8</xm:f>
          </x14:formula1>
          <xm:sqref>J7 P7 G7 M7 S7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BF48-B3BB-4C44-8AD8-CF59DDE76AB2}">
  <sheetPr>
    <tabColor theme="4"/>
  </sheetPr>
  <dimension ref="B2:M34"/>
  <sheetViews>
    <sheetView showGridLines="0" zoomScale="85" zoomScaleNormal="85" workbookViewId="0">
      <selection activeCell="L41" sqref="L41"/>
    </sheetView>
  </sheetViews>
  <sheetFormatPr baseColWidth="10" defaultColWidth="9" defaultRowHeight="12"/>
  <cols>
    <col min="1" max="16384" width="9" style="27"/>
  </cols>
  <sheetData>
    <row r="2" spans="2:13">
      <c r="D2" s="215" t="str">
        <f>IF(説明用アウトプットシート!G7="","",説明用アウトプットシート!G7)</f>
        <v>DB</v>
      </c>
      <c r="F2" s="215" t="str">
        <f>IF(説明用アウトプットシート!J7="","",説明用アウトプットシート!J7)</f>
        <v/>
      </c>
      <c r="H2" s="215" t="str">
        <f>IF(説明用アウトプットシート!M7="","",説明用アウトプットシート!M7)</f>
        <v/>
      </c>
      <c r="J2" s="215" t="str">
        <f>IF(説明用アウトプットシート!P7="","",説明用アウトプットシート!P7)</f>
        <v/>
      </c>
      <c r="L2" s="215" t="str">
        <f>IF(説明用アウトプットシート!S7="","",説明用アウトプットシート!S7)</f>
        <v/>
      </c>
    </row>
    <row r="3" spans="2:13" ht="13">
      <c r="B3" s="28" t="s">
        <v>48</v>
      </c>
      <c r="D3" s="215" t="str">
        <f>IF($D2="","",TEXT($D2,"")&amp;"(PSC)")</f>
        <v>DB(PSC)</v>
      </c>
      <c r="E3" s="215" t="str">
        <f>IF($D2="","",TEXT($D2,"")&amp;"(PFI-LCC)")</f>
        <v>DB(PFI-LCC)</v>
      </c>
      <c r="F3" s="215" t="str">
        <f>IF($F2="","",TEXT($F2,"")&amp;"(PSC)")</f>
        <v/>
      </c>
      <c r="G3" s="215" t="str">
        <f>IF($F2="","",TEXT($F2,"")&amp;"(PFI-LCC)")</f>
        <v/>
      </c>
      <c r="H3" s="215" t="str">
        <f>IF($H2="","",TEXT($H2,"")&amp;"(PSC)")</f>
        <v/>
      </c>
      <c r="I3" s="215" t="str">
        <f>IF($H2="","",TEXT($H2,"")&amp;"(PFI-LCC)")</f>
        <v/>
      </c>
      <c r="J3" s="215" t="str">
        <f>IF($J2="","",TEXT($J2,"")&amp;"(PSC)")</f>
        <v/>
      </c>
      <c r="K3" s="215" t="str">
        <f>IF($J2="","",TEXT($J2,"")&amp;"(PFI-LCC)")</f>
        <v/>
      </c>
      <c r="L3" s="215" t="str">
        <f>IF($L2="","",TEXT($L2,"")&amp;"(PSC)")</f>
        <v/>
      </c>
      <c r="M3" s="215" t="str">
        <f>IF($L2="","",TEXT($L2,"")&amp;"(PFI-LCC)")</f>
        <v/>
      </c>
    </row>
    <row r="4" spans="2:13">
      <c r="B4" s="27" t="s">
        <v>50</v>
      </c>
      <c r="C4" s="27">
        <v>1</v>
      </c>
      <c r="D4" s="212" cm="1">
        <f t="array" ref="D4">-IFERROR(_xlfn.IFS(D$2="DB",DB!$AJ17,D$2="BT",BT!$AJ17,D$2="DBO",DBO!$AJ17,D$2="BTO",BTO!$AJ17,D$2="BOT/BOO",BOT・BOO!$AJ17),0)</f>
        <v>10</v>
      </c>
      <c r="E4" s="212" cm="1">
        <f t="array" ref="E4">-IFERROR(_xlfn.IFS(D$2="DB",DB!$BC17,D$2="BT",BT!$BC17,D$2="DBO",DBO!$BC17,D$2="BTO",BTO!$BC17,D$2="BOT/BOO",BOT・BOO!$BC17),0)</f>
        <v>31</v>
      </c>
      <c r="F4" s="212" cm="1">
        <f t="array" ref="F4">-IFERROR(_xlfn.IFS(F$2="DB",DB!$AJ17,F$2="BT",BT!$AJ17,F$2="DBO",DBO!$AJ17,F$2="BTO",BTO!$AJ17,F$2="BOT/BOO",BOT・BOO!$AJ17),0)</f>
        <v>0</v>
      </c>
      <c r="G4" s="212" cm="1">
        <f t="array" ref="G4">-IFERROR(_xlfn.IFS(F$2="DB",DB!$BC17,F$2="BT",BT!$BC17,F$2="DBO",DBO!$BC17,F$2="BTO",BTO!$BC17,F$2="BOT/BOO",BOT・BOO!$BC17),0)</f>
        <v>0</v>
      </c>
      <c r="H4" s="212" cm="1">
        <f t="array" ref="H4">-IFERROR(_xlfn.IFS(H$2="DB",DB!$AJ17,H$2="BT",BT!$AJ17,H$2="DBO",DBO!$AJ17,H$2="BTO",BTO!$AJ17,H$2="BOT/BOO",BOT・BOO!$AJ17),0)</f>
        <v>0</v>
      </c>
      <c r="I4" s="212" cm="1">
        <f t="array" ref="I4">-IFERROR(_xlfn.IFS(H$2="DB",DB!$BC17,H$2="BT",BT!$BC17,H$2="DBO",DBO!$BC17,H$2="BTO",BTO!$BC17,H$2="BOT/BOO",BOT・BOO!$BC17),0)</f>
        <v>0</v>
      </c>
      <c r="J4" s="212" cm="1">
        <f t="array" ref="J4">-IFERROR(_xlfn.IFS(J$2="DB",DB!$AJ17,J$2="BT",BT!$AJ17,J$2="DBO",DBO!$AJ17,J$2="BTO",BTO!$AJ17,J$2="BOT/BOO",BOT・BOO!$AJ17),0)</f>
        <v>0</v>
      </c>
      <c r="K4" s="212" cm="1">
        <f t="array" ref="K4">-IFERROR(_xlfn.IFS(J$2="DB",DB!$BC17,J$2="BT",BT!$BC17,J$2="DBO",DBO!$BC17,J$2="BTO",BTO!$BC17,J$2="BOT/BOO",BOT・BOO!$BC17),0)</f>
        <v>0</v>
      </c>
      <c r="L4" s="212" cm="1">
        <f t="array" ref="L4">-IFERROR(_xlfn.IFS(L$2="DB",DB!$AJ17,L$2="BT",BT!$AJ17,L$2="DBO",DBO!$AJ17,L$2="BTO",BTO!$AJ17,L$2="BOT/BOO",BOT・BOO!$AJ17),0)</f>
        <v>0</v>
      </c>
      <c r="M4" s="212" cm="1">
        <f t="array" ref="M4">-IFERROR(_xlfn.IFS(L$2="DB",DB!$BC17,L$2="BT",BT!$BC17,L$2="DBO",DBO!$BC17,L$2="BTO",BTO!$BC17,L$2="BOT/BOO",BOT・BOO!$BC17),0)</f>
        <v>0</v>
      </c>
    </row>
    <row r="5" spans="2:13">
      <c r="B5" s="27" t="s">
        <v>51</v>
      </c>
      <c r="C5" s="27">
        <v>2</v>
      </c>
      <c r="D5" s="212" cm="1">
        <f t="array" ref="D5">-IFERROR(_xlfn.IFS(D$2="DB",DB!$AJ18,D$2="BT",BT!$AJ18,D$2="DBO",DBO!$AJ18,D$2="BTO",BTO!$AJ18,D$2="BOT/BOO",BOT・BOO!$AJ18),0)</f>
        <v>10</v>
      </c>
      <c r="E5" s="212" cm="1">
        <f t="array" ref="E5">-IFERROR(_xlfn.IFS(D$2="DB",DB!$BC18,D$2="BT",BT!$BC18,D$2="DBO",DBO!$BC18,D$2="BTO",BTO!$BC18,D$2="BOT/BOO",BOT・BOO!$BC18),0)</f>
        <v>6</v>
      </c>
      <c r="F5" s="212" cm="1">
        <f t="array" ref="F5">-IFERROR(_xlfn.IFS(F$2="DB",DB!$AJ18,F$2="BT",BT!$AJ18,F$2="DBO",DBO!$AJ18,F$2="BTO",BTO!$AJ18,F$2="BOT/BOO",BOT・BOO!$AJ18),0)</f>
        <v>0</v>
      </c>
      <c r="G5" s="212" cm="1">
        <f t="array" ref="G5">-IFERROR(_xlfn.IFS(F$2="DB",DB!$BC18,F$2="BT",BT!$BC18,F$2="DBO",DBO!$BC18,F$2="BTO",BTO!$BC18,F$2="BOT/BOO",BOT・BOO!$BC18),0)</f>
        <v>0</v>
      </c>
      <c r="H5" s="212" cm="1">
        <f t="array" ref="H5">-IFERROR(_xlfn.IFS(H$2="DB",DB!$AJ18,H$2="BT",BT!$AJ18,H$2="DBO",DBO!$AJ18,H$2="BTO",BTO!$AJ18,H$2="BOT/BOO",BOT・BOO!$AJ18),0)</f>
        <v>0</v>
      </c>
      <c r="I5" s="212" cm="1">
        <f t="array" ref="I5">-IFERROR(_xlfn.IFS(H$2="DB",DB!$BC18,H$2="BT",BT!$BC18,H$2="DBO",DBO!$BC18,H$2="BTO",BTO!$BC18,H$2="BOT/BOO",BOT・BOO!$BC18),0)</f>
        <v>0</v>
      </c>
      <c r="J5" s="212" cm="1">
        <f t="array" ref="J5">-IFERROR(_xlfn.IFS(J$2="DB",DB!$AJ18,J$2="BT",BT!$AJ18,J$2="DBO",DBO!$AJ18,J$2="BTO",BTO!$AJ18,J$2="BOT/BOO",BOT・BOO!$AJ18),0)</f>
        <v>0</v>
      </c>
      <c r="K5" s="212" cm="1">
        <f t="array" ref="K5">-IFERROR(_xlfn.IFS(J$2="DB",DB!$BC18,J$2="BT",BT!$BC18,J$2="DBO",DBO!$BC18,J$2="BTO",BTO!$BC18,J$2="BOT/BOO",BOT・BOO!$BC18),0)</f>
        <v>0</v>
      </c>
      <c r="L5" s="212" cm="1">
        <f t="array" ref="L5">-IFERROR(_xlfn.IFS(L$2="DB",DB!$AJ18,L$2="BT",BT!$AJ18,L$2="DBO",DBO!$AJ18,L$2="BTO",BTO!$AJ18,L$2="BOT/BOO",BOT・BOO!$AJ18),0)</f>
        <v>0</v>
      </c>
      <c r="M5" s="212" cm="1">
        <f t="array" ref="M5">-IFERROR(_xlfn.IFS(L$2="DB",DB!$BC18,L$2="BT",BT!$BC18,L$2="DBO",DBO!$BC18,L$2="BTO",BTO!$BC18,L$2="BOT/BOO",BOT・BOO!$BC18),0)</f>
        <v>0</v>
      </c>
    </row>
    <row r="6" spans="2:13">
      <c r="B6" s="27" t="s">
        <v>52</v>
      </c>
      <c r="C6" s="27">
        <v>3</v>
      </c>
      <c r="D6" s="212" cm="1">
        <f t="array" ref="D6">-IFERROR(_xlfn.IFS(D$2="DB",DB!$AJ19,D$2="BT",BT!$AJ19,D$2="DBO",DBO!$AJ19,D$2="BTO",BTO!$AJ19,D$2="BOT/BOO",BOT・BOO!$AJ19),0)</f>
        <v>1335.25</v>
      </c>
      <c r="E6" s="212" cm="1">
        <f t="array" ref="E6">-IFERROR(_xlfn.IFS(D$2="DB",DB!$BC19,D$2="BT",BT!$BC19,D$2="DBO",DBO!$BC19,D$2="BTO",BTO!$BC19,D$2="BOT/BOO",BOT・BOO!$BC19),0)</f>
        <v>1261.5</v>
      </c>
      <c r="F6" s="212" cm="1">
        <f t="array" ref="F6">-IFERROR(_xlfn.IFS(F$2="DB",DB!$AJ19,F$2="BT",BT!$AJ19,F$2="DBO",DBO!$AJ19,F$2="BTO",BTO!$AJ19,F$2="BOT/BOO",BOT・BOO!$AJ19),0)</f>
        <v>0</v>
      </c>
      <c r="G6" s="212" cm="1">
        <f t="array" ref="G6">-IFERROR(_xlfn.IFS(F$2="DB",DB!$BC19,F$2="BT",BT!$BC19,F$2="DBO",DBO!$BC19,F$2="BTO",BTO!$BC19,F$2="BOT/BOO",BOT・BOO!$BC19),0)</f>
        <v>0</v>
      </c>
      <c r="H6" s="212" cm="1">
        <f t="array" ref="H6">-IFERROR(_xlfn.IFS(H$2="DB",DB!$AJ19,H$2="BT",BT!$AJ19,H$2="DBO",DBO!$AJ19,H$2="BTO",BTO!$AJ19,H$2="BOT/BOO",BOT・BOO!$AJ19),0)</f>
        <v>0</v>
      </c>
      <c r="I6" s="212" cm="1">
        <f t="array" ref="I6">-IFERROR(_xlfn.IFS(H$2="DB",DB!$BC19,H$2="BT",BT!$BC19,H$2="DBO",DBO!$BC19,H$2="BTO",BTO!$BC19,H$2="BOT/BOO",BOT・BOO!$BC19),0)</f>
        <v>0</v>
      </c>
      <c r="J6" s="212" cm="1">
        <f t="array" ref="J6">-IFERROR(_xlfn.IFS(J$2="DB",DB!$AJ19,J$2="BT",BT!$AJ19,J$2="DBO",DBO!$AJ19,J$2="BTO",BTO!$AJ19,J$2="BOT/BOO",BOT・BOO!$AJ19),0)</f>
        <v>0</v>
      </c>
      <c r="K6" s="212" cm="1">
        <f t="array" ref="K6">-IFERROR(_xlfn.IFS(J$2="DB",DB!$BC19,J$2="BT",BT!$BC19,J$2="DBO",DBO!$BC19,J$2="BTO",BTO!$BC19,J$2="BOT/BOO",BOT・BOO!$BC19),0)</f>
        <v>0</v>
      </c>
      <c r="L6" s="212" cm="1">
        <f t="array" ref="L6">-IFERROR(_xlfn.IFS(L$2="DB",DB!$AJ19,L$2="BT",BT!$AJ19,L$2="DBO",DBO!$AJ19,L$2="BTO",BTO!$AJ19,L$2="BOT/BOO",BOT・BOO!$AJ19),0)</f>
        <v>0</v>
      </c>
      <c r="M6" s="212" cm="1">
        <f t="array" ref="M6">-IFERROR(_xlfn.IFS(L$2="DB",DB!$BC19,L$2="BT",BT!$BC19,L$2="DBO",DBO!$BC19,L$2="BTO",BTO!$BC19,L$2="BOT/BOO",BOT・BOO!$BC19),0)</f>
        <v>0</v>
      </c>
    </row>
    <row r="7" spans="2:13">
      <c r="B7" s="27" t="s">
        <v>53</v>
      </c>
      <c r="C7" s="27">
        <v>4</v>
      </c>
      <c r="D7" s="212" cm="1">
        <f t="array" ref="D7">-IFERROR(_xlfn.IFS(D$2="DB",DB!$AJ20,D$2="BT",BT!$AJ20,D$2="DBO",DBO!$AJ20,D$2="BTO",BTO!$AJ20,D$2="BOT/BOO",BOT・BOO!$AJ20),0)</f>
        <v>0</v>
      </c>
      <c r="E7" s="212" cm="1">
        <f t="array" ref="E7">-IFERROR(_xlfn.IFS(D$2="DB",DB!$BC20,D$2="BT",BT!$BC20,D$2="DBO",DBO!$BC20,D$2="BTO",BTO!$BC20,D$2="BOT/BOO",BOT・BOO!$BC20),0)</f>
        <v>0</v>
      </c>
      <c r="F7" s="212" cm="1">
        <f t="array" ref="F7">-IFERROR(_xlfn.IFS(F$2="DB",DB!$AJ20,F$2="BT",BT!$AJ20,F$2="DBO",DBO!$AJ20,F$2="BTO",BTO!$AJ20,F$2="BOT/BOO",BOT・BOO!$AJ20),0)</f>
        <v>0</v>
      </c>
      <c r="G7" s="212" cm="1">
        <f t="array" ref="G7">-IFERROR(_xlfn.IFS(F$2="DB",DB!$BC20,F$2="BT",BT!$BC20,F$2="DBO",DBO!$BC20,F$2="BTO",BTO!$BC20,F$2="BOT/BOO",BOT・BOO!$BC20),0)</f>
        <v>0</v>
      </c>
      <c r="H7" s="212" cm="1">
        <f t="array" ref="H7">-IFERROR(_xlfn.IFS(H$2="DB",DB!$AJ20,H$2="BT",BT!$AJ20,H$2="DBO",DBO!$AJ20,H$2="BTO",BTO!$AJ20,H$2="BOT/BOO",BOT・BOO!$AJ20),0)</f>
        <v>0</v>
      </c>
      <c r="I7" s="212" cm="1">
        <f t="array" ref="I7">-IFERROR(_xlfn.IFS(H$2="DB",DB!$BC20,H$2="BT",BT!$BC20,H$2="DBO",DBO!$BC20,H$2="BTO",BTO!$BC20,H$2="BOT/BOO",BOT・BOO!$BC20),0)</f>
        <v>0</v>
      </c>
      <c r="J7" s="212" cm="1">
        <f t="array" ref="J7">-IFERROR(_xlfn.IFS(J$2="DB",DB!$AJ20,J$2="BT",BT!$AJ20,J$2="DBO",DBO!$AJ20,J$2="BTO",BTO!$AJ20,J$2="BOT/BOO",BOT・BOO!$AJ20),0)</f>
        <v>0</v>
      </c>
      <c r="K7" s="212" cm="1">
        <f t="array" ref="K7">-IFERROR(_xlfn.IFS(J$2="DB",DB!$BC20,J$2="BT",BT!$BC20,J$2="DBO",DBO!$BC20,J$2="BTO",BTO!$BC20,J$2="BOT/BOO",BOT・BOO!$BC20),0)</f>
        <v>0</v>
      </c>
      <c r="L7" s="212" cm="1">
        <f t="array" ref="L7">-IFERROR(_xlfn.IFS(L$2="DB",DB!$AJ20,L$2="BT",BT!$AJ20,L$2="DBO",DBO!$AJ20,L$2="BTO",BTO!$AJ20,L$2="BOT/BOO",BOT・BOO!$AJ20),0)</f>
        <v>0</v>
      </c>
      <c r="M7" s="212" cm="1">
        <f t="array" ref="M7">-IFERROR(_xlfn.IFS(L$2="DB",DB!$BC20,L$2="BT",BT!$BC20,L$2="DBO",DBO!$BC20,L$2="BTO",BTO!$BC20,L$2="BOT/BOO",BOT・BOO!$BC20),0)</f>
        <v>0</v>
      </c>
    </row>
    <row r="8" spans="2:13">
      <c r="B8" s="27" t="s">
        <v>199</v>
      </c>
      <c r="C8" s="27">
        <v>5</v>
      </c>
      <c r="D8" s="212" cm="1">
        <f t="array" ref="D8">-IFERROR(_xlfn.IFS(D$2="DB",DB!$AJ21,D$2="BT",BT!$AJ21,D$2="DBO",DBO!$AJ21,D$2="BTO",BTO!$AJ21,D$2="BOT/BOO",BOT・BOO!$AJ21),0)</f>
        <v>0</v>
      </c>
      <c r="E8" s="212" cm="1">
        <f t="array" ref="E8">-IFERROR(_xlfn.IFS(D$2="DB",DB!$BC21,D$2="BT",BT!$BC21,D$2="DBO",DBO!$BC21,D$2="BTO",BTO!$BC21,D$2="BOT/BOO",BOT・BOO!$BC21),0)</f>
        <v>0</v>
      </c>
      <c r="F8" s="212" cm="1">
        <f t="array" ref="F8">-IFERROR(_xlfn.IFS(F$2="DB",DB!$AJ21,F$2="BT",BT!$AJ21,F$2="DBO",DBO!$AJ21,F$2="BTO",BTO!$AJ21,F$2="BOT/BOO",BOT・BOO!$AJ21),0)</f>
        <v>0</v>
      </c>
      <c r="G8" s="212" cm="1">
        <f t="array" ref="G8">-IFERROR(_xlfn.IFS(F$2="DB",DB!$BC21,F$2="BT",BT!$BC21,F$2="DBO",DBO!$BC21,F$2="BTO",BTO!$BC21,F$2="BOT/BOO",BOT・BOO!$BC21),0)</f>
        <v>0</v>
      </c>
      <c r="H8" s="212" cm="1">
        <f t="array" ref="H8">-IFERROR(_xlfn.IFS(H$2="DB",DB!$AJ21,H$2="BT",BT!$AJ21,H$2="DBO",DBO!$AJ21,H$2="BTO",BTO!$AJ21,H$2="BOT/BOO",BOT・BOO!$AJ21),0)</f>
        <v>0</v>
      </c>
      <c r="I8" s="212" cm="1">
        <f t="array" ref="I8">-IFERROR(_xlfn.IFS(H$2="DB",DB!$BC21,H$2="BT",BT!$BC21,H$2="DBO",DBO!$BC21,H$2="BTO",BTO!$BC21,H$2="BOT/BOO",BOT・BOO!$BC21),0)</f>
        <v>0</v>
      </c>
      <c r="J8" s="212" cm="1">
        <f t="array" ref="J8">-IFERROR(_xlfn.IFS(J$2="DB",DB!$AJ21,J$2="BT",BT!$AJ21,J$2="DBO",DBO!$AJ21,J$2="BTO",BTO!$AJ21,J$2="BOT/BOO",BOT・BOO!$AJ21),0)</f>
        <v>0</v>
      </c>
      <c r="K8" s="212" cm="1">
        <f t="array" ref="K8">-IFERROR(_xlfn.IFS(J$2="DB",DB!$BC21,J$2="BT",BT!$BC21,J$2="DBO",DBO!$BC21,J$2="BTO",BTO!$BC21,J$2="BOT/BOO",BOT・BOO!$BC21),0)</f>
        <v>0</v>
      </c>
      <c r="L8" s="212" cm="1">
        <f t="array" ref="L8">-IFERROR(_xlfn.IFS(L$2="DB",DB!$AJ21,L$2="BT",BT!$AJ21,L$2="DBO",DBO!$AJ21,L$2="BTO",BTO!$AJ21,L$2="BOT/BOO",BOT・BOO!$AJ21),0)</f>
        <v>0</v>
      </c>
      <c r="M8" s="212" cm="1">
        <f t="array" ref="M8">-IFERROR(_xlfn.IFS(L$2="DB",DB!$BC21,L$2="BT",BT!$BC21,L$2="DBO",DBO!$BC21,L$2="BTO",BTO!$BC21,L$2="BOT/BOO",BOT・BOO!$BC21),0)</f>
        <v>0</v>
      </c>
    </row>
    <row r="9" spans="2:13">
      <c r="C9" s="27">
        <v>6</v>
      </c>
      <c r="D9" s="212" cm="1">
        <f t="array" ref="D9">-IFERROR(_xlfn.IFS(D$2="DB",DB!$AJ22,D$2="BT",BT!$AJ22,D$2="DBO",DBO!$AJ22,D$2="BTO",BTO!$AJ22,D$2="BOT/BOO",BOT・BOO!$AJ22),0)</f>
        <v>0</v>
      </c>
      <c r="E9" s="212" cm="1">
        <f t="array" ref="E9">-IFERROR(_xlfn.IFS(D$2="DB",DB!$BC22,D$2="BT",BT!$BC22,D$2="DBO",DBO!$BC22,D$2="BTO",BTO!$BC22,D$2="BOT/BOO",BOT・BOO!$BC22),0)</f>
        <v>0</v>
      </c>
      <c r="F9" s="212" cm="1">
        <f t="array" ref="F9">-IFERROR(_xlfn.IFS(F$2="DB",DB!$AJ22,F$2="BT",BT!$AJ22,F$2="DBO",DBO!$AJ22,F$2="BTO",BTO!$AJ22,F$2="BOT/BOO",BOT・BOO!$AJ22),0)</f>
        <v>0</v>
      </c>
      <c r="G9" s="212" cm="1">
        <f t="array" ref="G9">-IFERROR(_xlfn.IFS(F$2="DB",DB!$BC22,F$2="BT",BT!$BC22,F$2="DBO",DBO!$BC22,F$2="BTO",BTO!$BC22,F$2="BOT/BOO",BOT・BOO!$BC22),0)</f>
        <v>0</v>
      </c>
      <c r="H9" s="212" cm="1">
        <f t="array" ref="H9">-IFERROR(_xlfn.IFS(H$2="DB",DB!$AJ22,H$2="BT",BT!$AJ22,H$2="DBO",DBO!$AJ22,H$2="BTO",BTO!$AJ22,H$2="BOT/BOO",BOT・BOO!$AJ22),0)</f>
        <v>0</v>
      </c>
      <c r="I9" s="212" cm="1">
        <f t="array" ref="I9">-IFERROR(_xlfn.IFS(H$2="DB",DB!$BC22,H$2="BT",BT!$BC22,H$2="DBO",DBO!$BC22,H$2="BTO",BTO!$BC22,H$2="BOT/BOO",BOT・BOO!$BC22),0)</f>
        <v>0</v>
      </c>
      <c r="J9" s="212" cm="1">
        <f t="array" ref="J9">-IFERROR(_xlfn.IFS(J$2="DB",DB!$AJ22,J$2="BT",BT!$AJ22,J$2="DBO",DBO!$AJ22,J$2="BTO",BTO!$AJ22,J$2="BOT/BOO",BOT・BOO!$AJ22),0)</f>
        <v>0</v>
      </c>
      <c r="K9" s="212" cm="1">
        <f t="array" ref="K9">-IFERROR(_xlfn.IFS(J$2="DB",DB!$BC22,J$2="BT",BT!$BC22,J$2="DBO",DBO!$BC22,J$2="BTO",BTO!$BC22,J$2="BOT/BOO",BOT・BOO!$BC22),0)</f>
        <v>0</v>
      </c>
      <c r="L9" s="212" cm="1">
        <f t="array" ref="L9">-IFERROR(_xlfn.IFS(L$2="DB",DB!$AJ22,L$2="BT",BT!$AJ22,L$2="DBO",DBO!$AJ22,L$2="BTO",BTO!$AJ22,L$2="BOT/BOO",BOT・BOO!$AJ22),0)</f>
        <v>0</v>
      </c>
      <c r="M9" s="212" cm="1">
        <f t="array" ref="M9">-IFERROR(_xlfn.IFS(L$2="DB",DB!$BC22,L$2="BT",BT!$BC22,L$2="DBO",DBO!$BC22,L$2="BTO",BTO!$BC22,L$2="BOT/BOO",BOT・BOO!$BC22),0)</f>
        <v>0</v>
      </c>
    </row>
    <row r="10" spans="2:13">
      <c r="C10" s="27">
        <v>7</v>
      </c>
      <c r="D10" s="212" cm="1">
        <f t="array" ref="D10">-IFERROR(_xlfn.IFS(D$2="DB",DB!$AJ23,D$2="BT",BT!$AJ23,D$2="DBO",DBO!$AJ23,D$2="BTO",BTO!$AJ23,D$2="BOT/BOO",BOT・BOO!$AJ23),0)</f>
        <v>0</v>
      </c>
      <c r="E10" s="212" cm="1">
        <f t="array" ref="E10">-IFERROR(_xlfn.IFS(D$2="DB",DB!$BC23,D$2="BT",BT!$BC23,D$2="DBO",DBO!$BC23,D$2="BTO",BTO!$BC23,D$2="BOT/BOO",BOT・BOO!$BC23),0)</f>
        <v>0</v>
      </c>
      <c r="F10" s="212" cm="1">
        <f t="array" ref="F10">-IFERROR(_xlfn.IFS(F$2="DB",DB!$AJ23,F$2="BT",BT!$AJ23,F$2="DBO",DBO!$AJ23,F$2="BTO",BTO!$AJ23,F$2="BOT/BOO",BOT・BOO!$AJ23),0)</f>
        <v>0</v>
      </c>
      <c r="G10" s="212" cm="1">
        <f t="array" ref="G10">-IFERROR(_xlfn.IFS(F$2="DB",DB!$BC23,F$2="BT",BT!$BC23,F$2="DBO",DBO!$BC23,F$2="BTO",BTO!$BC23,F$2="BOT/BOO",BOT・BOO!$BC23),0)</f>
        <v>0</v>
      </c>
      <c r="H10" s="212" cm="1">
        <f t="array" ref="H10">-IFERROR(_xlfn.IFS(H$2="DB",DB!$AJ23,H$2="BT",BT!$AJ23,H$2="DBO",DBO!$AJ23,H$2="BTO",BTO!$AJ23,H$2="BOT/BOO",BOT・BOO!$AJ23),0)</f>
        <v>0</v>
      </c>
      <c r="I10" s="212" cm="1">
        <f t="array" ref="I10">-IFERROR(_xlfn.IFS(H$2="DB",DB!$BC23,H$2="BT",BT!$BC23,H$2="DBO",DBO!$BC23,H$2="BTO",BTO!$BC23,H$2="BOT/BOO",BOT・BOO!$BC23),0)</f>
        <v>0</v>
      </c>
      <c r="J10" s="212" cm="1">
        <f t="array" ref="J10">-IFERROR(_xlfn.IFS(J$2="DB",DB!$AJ23,J$2="BT",BT!$AJ23,J$2="DBO",DBO!$AJ23,J$2="BTO",BTO!$AJ23,J$2="BOT/BOO",BOT・BOO!$AJ23),0)</f>
        <v>0</v>
      </c>
      <c r="K10" s="212" cm="1">
        <f t="array" ref="K10">-IFERROR(_xlfn.IFS(J$2="DB",DB!$BC23,J$2="BT",BT!$BC23,J$2="DBO",DBO!$BC23,J$2="BTO",BTO!$BC23,J$2="BOT/BOO",BOT・BOO!$BC23),0)</f>
        <v>0</v>
      </c>
      <c r="L10" s="212" cm="1">
        <f t="array" ref="L10">-IFERROR(_xlfn.IFS(L$2="DB",DB!$AJ23,L$2="BT",BT!$AJ23,L$2="DBO",DBO!$AJ23,L$2="BTO",BTO!$AJ23,L$2="BOT/BOO",BOT・BOO!$AJ23),0)</f>
        <v>0</v>
      </c>
      <c r="M10" s="212" cm="1">
        <f t="array" ref="M10">-IFERROR(_xlfn.IFS(L$2="DB",DB!$BC23,L$2="BT",BT!$BC23,L$2="DBO",DBO!$BC23,L$2="BTO",BTO!$BC23,L$2="BOT/BOO",BOT・BOO!$BC23),0)</f>
        <v>0</v>
      </c>
    </row>
    <row r="11" spans="2:13">
      <c r="C11" s="27">
        <v>8</v>
      </c>
      <c r="D11" s="212" cm="1">
        <f t="array" ref="D11">-IFERROR(_xlfn.IFS(D$2="DB",DB!$AJ24,D$2="BT",BT!$AJ24,D$2="DBO",DBO!$AJ24,D$2="BTO",BTO!$AJ24,D$2="BOT/BOO",BOT・BOO!$AJ24),0)</f>
        <v>0</v>
      </c>
      <c r="E11" s="212" cm="1">
        <f t="array" ref="E11">-IFERROR(_xlfn.IFS(D$2="DB",DB!$BC24,D$2="BT",BT!$BC24,D$2="DBO",DBO!$BC24,D$2="BTO",BTO!$BC24,D$2="BOT/BOO",BOT・BOO!$BC24),0)</f>
        <v>0</v>
      </c>
      <c r="F11" s="212" cm="1">
        <f t="array" ref="F11">-IFERROR(_xlfn.IFS(F$2="DB",DB!$AJ24,F$2="BT",BT!$AJ24,F$2="DBO",DBO!$AJ24,F$2="BTO",BTO!$AJ24,F$2="BOT/BOO",BOT・BOO!$AJ24),0)</f>
        <v>0</v>
      </c>
      <c r="G11" s="212" cm="1">
        <f t="array" ref="G11">-IFERROR(_xlfn.IFS(F$2="DB",DB!$BC24,F$2="BT",BT!$BC24,F$2="DBO",DBO!$BC24,F$2="BTO",BTO!$BC24,F$2="BOT/BOO",BOT・BOO!$BC24),0)</f>
        <v>0</v>
      </c>
      <c r="H11" s="212" cm="1">
        <f t="array" ref="H11">-IFERROR(_xlfn.IFS(H$2="DB",DB!$AJ24,H$2="BT",BT!$AJ24,H$2="DBO",DBO!$AJ24,H$2="BTO",BTO!$AJ24,H$2="BOT/BOO",BOT・BOO!$AJ24),0)</f>
        <v>0</v>
      </c>
      <c r="I11" s="212" cm="1">
        <f t="array" ref="I11">-IFERROR(_xlfn.IFS(H$2="DB",DB!$BC24,H$2="BT",BT!$BC24,H$2="DBO",DBO!$BC24,H$2="BTO",BTO!$BC24,H$2="BOT/BOO",BOT・BOO!$BC24),0)</f>
        <v>0</v>
      </c>
      <c r="J11" s="212" cm="1">
        <f t="array" ref="J11">-IFERROR(_xlfn.IFS(J$2="DB",DB!$AJ24,J$2="BT",BT!$AJ24,J$2="DBO",DBO!$AJ24,J$2="BTO",BTO!$AJ24,J$2="BOT/BOO",BOT・BOO!$AJ24),0)</f>
        <v>0</v>
      </c>
      <c r="K11" s="212" cm="1">
        <f t="array" ref="K11">-IFERROR(_xlfn.IFS(J$2="DB",DB!$BC24,J$2="BT",BT!$BC24,J$2="DBO",DBO!$BC24,J$2="BTO",BTO!$BC24,J$2="BOT/BOO",BOT・BOO!$BC24),0)</f>
        <v>0</v>
      </c>
      <c r="L11" s="212" cm="1">
        <f t="array" ref="L11">-IFERROR(_xlfn.IFS(L$2="DB",DB!$AJ24,L$2="BT",BT!$AJ24,L$2="DBO",DBO!$AJ24,L$2="BTO",BTO!$AJ24,L$2="BOT/BOO",BOT・BOO!$AJ24),0)</f>
        <v>0</v>
      </c>
      <c r="M11" s="212" cm="1">
        <f t="array" ref="M11">-IFERROR(_xlfn.IFS(L$2="DB",DB!$BC24,L$2="BT",BT!$BC24,L$2="DBO",DBO!$BC24,L$2="BTO",BTO!$BC24,L$2="BOT/BOO",BOT・BOO!$BC24),0)</f>
        <v>0</v>
      </c>
    </row>
    <row r="12" spans="2:13">
      <c r="C12" s="27">
        <v>9</v>
      </c>
      <c r="D12" s="212" cm="1">
        <f t="array" ref="D12">-IFERROR(_xlfn.IFS(D$2="DB",DB!$AJ25,D$2="BT",BT!$AJ25,D$2="DBO",DBO!$AJ25,D$2="BTO",BTO!$AJ25,D$2="BOT/BOO",BOT・BOO!$AJ25),0)</f>
        <v>0</v>
      </c>
      <c r="E12" s="212" cm="1">
        <f t="array" ref="E12">-IFERROR(_xlfn.IFS(D$2="DB",DB!$BC25,D$2="BT",BT!$BC25,D$2="DBO",DBO!$BC25,D$2="BTO",BTO!$BC25,D$2="BOT/BOO",BOT・BOO!$BC25),0)</f>
        <v>0</v>
      </c>
      <c r="F12" s="212" cm="1">
        <f t="array" ref="F12">-IFERROR(_xlfn.IFS(F$2="DB",DB!$AJ25,F$2="BT",BT!$AJ25,F$2="DBO",DBO!$AJ25,F$2="BTO",BTO!$AJ25,F$2="BOT/BOO",BOT・BOO!$AJ25),0)</f>
        <v>0</v>
      </c>
      <c r="G12" s="212" cm="1">
        <f t="array" ref="G12">-IFERROR(_xlfn.IFS(F$2="DB",DB!$BC25,F$2="BT",BT!$BC25,F$2="DBO",DBO!$BC25,F$2="BTO",BTO!$BC25,F$2="BOT/BOO",BOT・BOO!$BC25),0)</f>
        <v>0</v>
      </c>
      <c r="H12" s="212" cm="1">
        <f t="array" ref="H12">-IFERROR(_xlfn.IFS(H$2="DB",DB!$AJ25,H$2="BT",BT!$AJ25,H$2="DBO",DBO!$AJ25,H$2="BTO",BTO!$AJ25,H$2="BOT/BOO",BOT・BOO!$AJ25),0)</f>
        <v>0</v>
      </c>
      <c r="I12" s="212" cm="1">
        <f t="array" ref="I12">-IFERROR(_xlfn.IFS(H$2="DB",DB!$BC25,H$2="BT",BT!$BC25,H$2="DBO",DBO!$BC25,H$2="BTO",BTO!$BC25,H$2="BOT/BOO",BOT・BOO!$BC25),0)</f>
        <v>0</v>
      </c>
      <c r="J12" s="212" cm="1">
        <f t="array" ref="J12">-IFERROR(_xlfn.IFS(J$2="DB",DB!$AJ25,J$2="BT",BT!$AJ25,J$2="DBO",DBO!$AJ25,J$2="BTO",BTO!$AJ25,J$2="BOT/BOO",BOT・BOO!$AJ25),0)</f>
        <v>0</v>
      </c>
      <c r="K12" s="212" cm="1">
        <f t="array" ref="K12">-IFERROR(_xlfn.IFS(J$2="DB",DB!$BC25,J$2="BT",BT!$BC25,J$2="DBO",DBO!$BC25,J$2="BTO",BTO!$BC25,J$2="BOT/BOO",BOT・BOO!$BC25),0)</f>
        <v>0</v>
      </c>
      <c r="L12" s="212" cm="1">
        <f t="array" ref="L12">-IFERROR(_xlfn.IFS(L$2="DB",DB!$AJ25,L$2="BT",BT!$AJ25,L$2="DBO",DBO!$AJ25,L$2="BTO",BTO!$AJ25,L$2="BOT/BOO",BOT・BOO!$AJ25),0)</f>
        <v>0</v>
      </c>
      <c r="M12" s="212" cm="1">
        <f t="array" ref="M12">-IFERROR(_xlfn.IFS(L$2="DB",DB!$BC25,L$2="BT",BT!$BC25,L$2="DBO",DBO!$BC25,L$2="BTO",BTO!$BC25,L$2="BOT/BOO",BOT・BOO!$BC25),0)</f>
        <v>0</v>
      </c>
    </row>
    <row r="13" spans="2:13">
      <c r="C13" s="27">
        <v>10</v>
      </c>
      <c r="D13" s="212" cm="1">
        <f t="array" ref="D13">-IFERROR(_xlfn.IFS(D$2="DB",DB!$AJ26,D$2="BT",BT!$AJ26,D$2="DBO",DBO!$AJ26,D$2="BTO",BTO!$AJ26,D$2="BOT/BOO",BOT・BOO!$AJ26),0)</f>
        <v>0</v>
      </c>
      <c r="E13" s="212" cm="1">
        <f t="array" ref="E13">-IFERROR(_xlfn.IFS(D$2="DB",DB!$BC26,D$2="BT",BT!$BC26,D$2="DBO",DBO!$BC26,D$2="BTO",BTO!$BC26,D$2="BOT/BOO",BOT・BOO!$BC26),0)</f>
        <v>0</v>
      </c>
      <c r="F13" s="212" cm="1">
        <f t="array" ref="F13">-IFERROR(_xlfn.IFS(F$2="DB",DB!$AJ26,F$2="BT",BT!$AJ26,F$2="DBO",DBO!$AJ26,F$2="BTO",BTO!$AJ26,F$2="BOT/BOO",BOT・BOO!$AJ26),0)</f>
        <v>0</v>
      </c>
      <c r="G13" s="212" cm="1">
        <f t="array" ref="G13">-IFERROR(_xlfn.IFS(F$2="DB",DB!$BC26,F$2="BT",BT!$BC26,F$2="DBO",DBO!$BC26,F$2="BTO",BTO!$BC26,F$2="BOT/BOO",BOT・BOO!$BC26),0)</f>
        <v>0</v>
      </c>
      <c r="H13" s="212" cm="1">
        <f t="array" ref="H13">-IFERROR(_xlfn.IFS(H$2="DB",DB!$AJ26,H$2="BT",BT!$AJ26,H$2="DBO",DBO!$AJ26,H$2="BTO",BTO!$AJ26,H$2="BOT/BOO",BOT・BOO!$AJ26),0)</f>
        <v>0</v>
      </c>
      <c r="I13" s="212" cm="1">
        <f t="array" ref="I13">-IFERROR(_xlfn.IFS(H$2="DB",DB!$BC26,H$2="BT",BT!$BC26,H$2="DBO",DBO!$BC26,H$2="BTO",BTO!$BC26,H$2="BOT/BOO",BOT・BOO!$BC26),0)</f>
        <v>0</v>
      </c>
      <c r="J13" s="212" cm="1">
        <f t="array" ref="J13">-IFERROR(_xlfn.IFS(J$2="DB",DB!$AJ26,J$2="BT",BT!$AJ26,J$2="DBO",DBO!$AJ26,J$2="BTO",BTO!$AJ26,J$2="BOT/BOO",BOT・BOO!$AJ26),0)</f>
        <v>0</v>
      </c>
      <c r="K13" s="212" cm="1">
        <f t="array" ref="K13">-IFERROR(_xlfn.IFS(J$2="DB",DB!$BC26,J$2="BT",BT!$BC26,J$2="DBO",DBO!$BC26,J$2="BTO",BTO!$BC26,J$2="BOT/BOO",BOT・BOO!$BC26),0)</f>
        <v>0</v>
      </c>
      <c r="L13" s="212" cm="1">
        <f t="array" ref="L13">-IFERROR(_xlfn.IFS(L$2="DB",DB!$AJ26,L$2="BT",BT!$AJ26,L$2="DBO",DBO!$AJ26,L$2="BTO",BTO!$AJ26,L$2="BOT/BOO",BOT・BOO!$AJ26),0)</f>
        <v>0</v>
      </c>
      <c r="M13" s="212" cm="1">
        <f t="array" ref="M13">-IFERROR(_xlfn.IFS(L$2="DB",DB!$BC26,L$2="BT",BT!$BC26,L$2="DBO",DBO!$BC26,L$2="BTO",BTO!$BC26,L$2="BOT/BOO",BOT・BOO!$BC26),0)</f>
        <v>0</v>
      </c>
    </row>
    <row r="14" spans="2:13">
      <c r="C14" s="27">
        <v>11</v>
      </c>
      <c r="D14" s="212" cm="1">
        <f t="array" ref="D14">-IFERROR(_xlfn.IFS(D$2="DB",DB!$AJ27,D$2="BT",BT!$AJ27,D$2="DBO",DBO!$AJ27,D$2="BTO",BTO!$AJ27,D$2="BOT/BOO",BOT・BOO!$AJ27),0)</f>
        <v>0</v>
      </c>
      <c r="E14" s="212" cm="1">
        <f t="array" ref="E14">-IFERROR(_xlfn.IFS(D$2="DB",DB!$BC27,D$2="BT",BT!$BC27,D$2="DBO",DBO!$BC27,D$2="BTO",BTO!$BC27,D$2="BOT/BOO",BOT・BOO!$BC27),0)</f>
        <v>0</v>
      </c>
      <c r="F14" s="212" cm="1">
        <f t="array" ref="F14">-IFERROR(_xlfn.IFS(F$2="DB",DB!$AJ27,F$2="BT",BT!$AJ27,F$2="DBO",DBO!$AJ27,F$2="BTO",BTO!$AJ27,F$2="BOT/BOO",BOT・BOO!$AJ27),0)</f>
        <v>0</v>
      </c>
      <c r="G14" s="212" cm="1">
        <f t="array" ref="G14">-IFERROR(_xlfn.IFS(F$2="DB",DB!$BC27,F$2="BT",BT!$BC27,F$2="DBO",DBO!$BC27,F$2="BTO",BTO!$BC27,F$2="BOT/BOO",BOT・BOO!$BC27),0)</f>
        <v>0</v>
      </c>
      <c r="H14" s="212" cm="1">
        <f t="array" ref="H14">-IFERROR(_xlfn.IFS(H$2="DB",DB!$AJ27,H$2="BT",BT!$AJ27,H$2="DBO",DBO!$AJ27,H$2="BTO",BTO!$AJ27,H$2="BOT/BOO",BOT・BOO!$AJ27),0)</f>
        <v>0</v>
      </c>
      <c r="I14" s="212" cm="1">
        <f t="array" ref="I14">-IFERROR(_xlfn.IFS(H$2="DB",DB!$BC27,H$2="BT",BT!$BC27,H$2="DBO",DBO!$BC27,H$2="BTO",BTO!$BC27,H$2="BOT/BOO",BOT・BOO!$BC27),0)</f>
        <v>0</v>
      </c>
      <c r="J14" s="212" cm="1">
        <f t="array" ref="J14">-IFERROR(_xlfn.IFS(J$2="DB",DB!$AJ27,J$2="BT",BT!$AJ27,J$2="DBO",DBO!$AJ27,J$2="BTO",BTO!$AJ27,J$2="BOT/BOO",BOT・BOO!$AJ27),0)</f>
        <v>0</v>
      </c>
      <c r="K14" s="212" cm="1">
        <f t="array" ref="K14">-IFERROR(_xlfn.IFS(J$2="DB",DB!$BC27,J$2="BT",BT!$BC27,J$2="DBO",DBO!$BC27,J$2="BTO",BTO!$BC27,J$2="BOT/BOO",BOT・BOO!$BC27),0)</f>
        <v>0</v>
      </c>
      <c r="L14" s="212" cm="1">
        <f t="array" ref="L14">-IFERROR(_xlfn.IFS(L$2="DB",DB!$AJ27,L$2="BT",BT!$AJ27,L$2="DBO",DBO!$AJ27,L$2="BTO",BTO!$AJ27,L$2="BOT/BOO",BOT・BOO!$AJ27),0)</f>
        <v>0</v>
      </c>
      <c r="M14" s="212" cm="1">
        <f t="array" ref="M14">-IFERROR(_xlfn.IFS(L$2="DB",DB!$BC27,L$2="BT",BT!$BC27,L$2="DBO",DBO!$BC27,L$2="BTO",BTO!$BC27,L$2="BOT/BOO",BOT・BOO!$BC27),0)</f>
        <v>0</v>
      </c>
    </row>
    <row r="15" spans="2:13">
      <c r="C15" s="27">
        <v>12</v>
      </c>
      <c r="D15" s="212" cm="1">
        <f t="array" ref="D15">-IFERROR(_xlfn.IFS(D$2="DB",DB!$AJ28,D$2="BT",BT!$AJ28,D$2="DBO",DBO!$AJ28,D$2="BTO",BTO!$AJ28,D$2="BOT/BOO",BOT・BOO!$AJ28),0)</f>
        <v>0</v>
      </c>
      <c r="E15" s="212" cm="1">
        <f t="array" ref="E15">-IFERROR(_xlfn.IFS(D$2="DB",DB!$BC28,D$2="BT",BT!$BC28,D$2="DBO",DBO!$BC28,D$2="BTO",BTO!$BC28,D$2="BOT/BOO",BOT・BOO!$BC28),0)</f>
        <v>0</v>
      </c>
      <c r="F15" s="212" cm="1">
        <f t="array" ref="F15">-IFERROR(_xlfn.IFS(F$2="DB",DB!$AJ28,F$2="BT",BT!$AJ28,F$2="DBO",DBO!$AJ28,F$2="BTO",BTO!$AJ28,F$2="BOT/BOO",BOT・BOO!$AJ28),0)</f>
        <v>0</v>
      </c>
      <c r="G15" s="212" cm="1">
        <f t="array" ref="G15">-IFERROR(_xlfn.IFS(F$2="DB",DB!$BC28,F$2="BT",BT!$BC28,F$2="DBO",DBO!$BC28,F$2="BTO",BTO!$BC28,F$2="BOT/BOO",BOT・BOO!$BC28),0)</f>
        <v>0</v>
      </c>
      <c r="H15" s="212" cm="1">
        <f t="array" ref="H15">-IFERROR(_xlfn.IFS(H$2="DB",DB!$AJ28,H$2="BT",BT!$AJ28,H$2="DBO",DBO!$AJ28,H$2="BTO",BTO!$AJ28,H$2="BOT/BOO",BOT・BOO!$AJ28),0)</f>
        <v>0</v>
      </c>
      <c r="I15" s="212" cm="1">
        <f t="array" ref="I15">-IFERROR(_xlfn.IFS(H$2="DB",DB!$BC28,H$2="BT",BT!$BC28,H$2="DBO",DBO!$BC28,H$2="BTO",BTO!$BC28,H$2="BOT/BOO",BOT・BOO!$BC28),0)</f>
        <v>0</v>
      </c>
      <c r="J15" s="212" cm="1">
        <f t="array" ref="J15">-IFERROR(_xlfn.IFS(J$2="DB",DB!$AJ28,J$2="BT",BT!$AJ28,J$2="DBO",DBO!$AJ28,J$2="BTO",BTO!$AJ28,J$2="BOT/BOO",BOT・BOO!$AJ28),0)</f>
        <v>0</v>
      </c>
      <c r="K15" s="212" cm="1">
        <f t="array" ref="K15">-IFERROR(_xlfn.IFS(J$2="DB",DB!$BC28,J$2="BT",BT!$BC28,J$2="DBO",DBO!$BC28,J$2="BTO",BTO!$BC28,J$2="BOT/BOO",BOT・BOO!$BC28),0)</f>
        <v>0</v>
      </c>
      <c r="L15" s="212" cm="1">
        <f t="array" ref="L15">-IFERROR(_xlfn.IFS(L$2="DB",DB!$AJ28,L$2="BT",BT!$AJ28,L$2="DBO",DBO!$AJ28,L$2="BTO",BTO!$AJ28,L$2="BOT/BOO",BOT・BOO!$AJ28),0)</f>
        <v>0</v>
      </c>
      <c r="M15" s="212" cm="1">
        <f t="array" ref="M15">-IFERROR(_xlfn.IFS(L$2="DB",DB!$BC28,L$2="BT",BT!$BC28,L$2="DBO",DBO!$BC28,L$2="BTO",BTO!$BC28,L$2="BOT/BOO",BOT・BOO!$BC28),0)</f>
        <v>0</v>
      </c>
    </row>
    <row r="16" spans="2:13">
      <c r="C16" s="27">
        <v>13</v>
      </c>
      <c r="D16" s="212" cm="1">
        <f t="array" ref="D16">-IFERROR(_xlfn.IFS(D$2="DB",DB!$AJ29,D$2="BT",BT!$AJ29,D$2="DBO",DBO!$AJ29,D$2="BTO",BTO!$AJ29,D$2="BOT/BOO",BOT・BOO!$AJ29),0)</f>
        <v>0</v>
      </c>
      <c r="E16" s="212" cm="1">
        <f t="array" ref="E16">-IFERROR(_xlfn.IFS(D$2="DB",DB!$BC29,D$2="BT",BT!$BC29,D$2="DBO",DBO!$BC29,D$2="BTO",BTO!$BC29,D$2="BOT/BOO",BOT・BOO!$BC29),0)</f>
        <v>0</v>
      </c>
      <c r="F16" s="212" cm="1">
        <f t="array" ref="F16">-IFERROR(_xlfn.IFS(F$2="DB",DB!$AJ29,F$2="BT",BT!$AJ29,F$2="DBO",DBO!$AJ29,F$2="BTO",BTO!$AJ29,F$2="BOT/BOO",BOT・BOO!$AJ29),0)</f>
        <v>0</v>
      </c>
      <c r="G16" s="212" cm="1">
        <f t="array" ref="G16">-IFERROR(_xlfn.IFS(F$2="DB",DB!$BC29,F$2="BT",BT!$BC29,F$2="DBO",DBO!$BC29,F$2="BTO",BTO!$BC29,F$2="BOT/BOO",BOT・BOO!$BC29),0)</f>
        <v>0</v>
      </c>
      <c r="H16" s="212" cm="1">
        <f t="array" ref="H16">-IFERROR(_xlfn.IFS(H$2="DB",DB!$AJ29,H$2="BT",BT!$AJ29,H$2="DBO",DBO!$AJ29,H$2="BTO",BTO!$AJ29,H$2="BOT/BOO",BOT・BOO!$AJ29),0)</f>
        <v>0</v>
      </c>
      <c r="I16" s="212" cm="1">
        <f t="array" ref="I16">-IFERROR(_xlfn.IFS(H$2="DB",DB!$BC29,H$2="BT",BT!$BC29,H$2="DBO",DBO!$BC29,H$2="BTO",BTO!$BC29,H$2="BOT/BOO",BOT・BOO!$BC29),0)</f>
        <v>0</v>
      </c>
      <c r="J16" s="212" cm="1">
        <f t="array" ref="J16">-IFERROR(_xlfn.IFS(J$2="DB",DB!$AJ29,J$2="BT",BT!$AJ29,J$2="DBO",DBO!$AJ29,J$2="BTO",BTO!$AJ29,J$2="BOT/BOO",BOT・BOO!$AJ29),0)</f>
        <v>0</v>
      </c>
      <c r="K16" s="212" cm="1">
        <f t="array" ref="K16">-IFERROR(_xlfn.IFS(J$2="DB",DB!$BC29,J$2="BT",BT!$BC29,J$2="DBO",DBO!$BC29,J$2="BTO",BTO!$BC29,J$2="BOT/BOO",BOT・BOO!$BC29),0)</f>
        <v>0</v>
      </c>
      <c r="L16" s="212" cm="1">
        <f t="array" ref="L16">-IFERROR(_xlfn.IFS(L$2="DB",DB!$AJ29,L$2="BT",BT!$AJ29,L$2="DBO",DBO!$AJ29,L$2="BTO",BTO!$AJ29,L$2="BOT/BOO",BOT・BOO!$AJ29),0)</f>
        <v>0</v>
      </c>
      <c r="M16" s="212" cm="1">
        <f t="array" ref="M16">-IFERROR(_xlfn.IFS(L$2="DB",DB!$BC29,L$2="BT",BT!$BC29,L$2="DBO",DBO!$BC29,L$2="BTO",BTO!$BC29,L$2="BOT/BOO",BOT・BOO!$BC29),0)</f>
        <v>0</v>
      </c>
    </row>
    <row r="17" spans="3:13">
      <c r="C17" s="27">
        <v>14</v>
      </c>
      <c r="D17" s="212" cm="1">
        <f t="array" ref="D17">-IFERROR(_xlfn.IFS(D$2="DB",DB!$AJ30,D$2="BT",BT!$AJ30,D$2="DBO",DBO!$AJ30,D$2="BTO",BTO!$AJ30,D$2="BOT/BOO",BOT・BOO!$AJ30),0)</f>
        <v>0</v>
      </c>
      <c r="E17" s="212" cm="1">
        <f t="array" ref="E17">-IFERROR(_xlfn.IFS(D$2="DB",DB!$BC30,D$2="BT",BT!$BC30,D$2="DBO",DBO!$BC30,D$2="BTO",BTO!$BC30,D$2="BOT/BOO",BOT・BOO!$BC30),0)</f>
        <v>0</v>
      </c>
      <c r="F17" s="212" cm="1">
        <f t="array" ref="F17">-IFERROR(_xlfn.IFS(F$2="DB",DB!$AJ30,F$2="BT",BT!$AJ30,F$2="DBO",DBO!$AJ30,F$2="BTO",BTO!$AJ30,F$2="BOT/BOO",BOT・BOO!$AJ30),0)</f>
        <v>0</v>
      </c>
      <c r="G17" s="212" cm="1">
        <f t="array" ref="G17">-IFERROR(_xlfn.IFS(F$2="DB",DB!$BC30,F$2="BT",BT!$BC30,F$2="DBO",DBO!$BC30,F$2="BTO",BTO!$BC30,F$2="BOT/BOO",BOT・BOO!$BC30),0)</f>
        <v>0</v>
      </c>
      <c r="H17" s="212" cm="1">
        <f t="array" ref="H17">-IFERROR(_xlfn.IFS(H$2="DB",DB!$AJ30,H$2="BT",BT!$AJ30,H$2="DBO",DBO!$AJ30,H$2="BTO",BTO!$AJ30,H$2="BOT/BOO",BOT・BOO!$AJ30),0)</f>
        <v>0</v>
      </c>
      <c r="I17" s="212" cm="1">
        <f t="array" ref="I17">-IFERROR(_xlfn.IFS(H$2="DB",DB!$BC30,H$2="BT",BT!$BC30,H$2="DBO",DBO!$BC30,H$2="BTO",BTO!$BC30,H$2="BOT/BOO",BOT・BOO!$BC30),0)</f>
        <v>0</v>
      </c>
      <c r="J17" s="212" cm="1">
        <f t="array" ref="J17">-IFERROR(_xlfn.IFS(J$2="DB",DB!$AJ30,J$2="BT",BT!$AJ30,J$2="DBO",DBO!$AJ30,J$2="BTO",BTO!$AJ30,J$2="BOT/BOO",BOT・BOO!$AJ30),0)</f>
        <v>0</v>
      </c>
      <c r="K17" s="212" cm="1">
        <f t="array" ref="K17">-IFERROR(_xlfn.IFS(J$2="DB",DB!$BC30,J$2="BT",BT!$BC30,J$2="DBO",DBO!$BC30,J$2="BTO",BTO!$BC30,J$2="BOT/BOO",BOT・BOO!$BC30),0)</f>
        <v>0</v>
      </c>
      <c r="L17" s="212" cm="1">
        <f t="array" ref="L17">-IFERROR(_xlfn.IFS(L$2="DB",DB!$AJ30,L$2="BT",BT!$AJ30,L$2="DBO",DBO!$AJ30,L$2="BTO",BTO!$AJ30,L$2="BOT/BOO",BOT・BOO!$AJ30),0)</f>
        <v>0</v>
      </c>
      <c r="M17" s="212" cm="1">
        <f t="array" ref="M17">-IFERROR(_xlfn.IFS(L$2="DB",DB!$BC30,L$2="BT",BT!$BC30,L$2="DBO",DBO!$BC30,L$2="BTO",BTO!$BC30,L$2="BOT/BOO",BOT・BOO!$BC30),0)</f>
        <v>0</v>
      </c>
    </row>
    <row r="18" spans="3:13">
      <c r="C18" s="27">
        <v>15</v>
      </c>
      <c r="D18" s="212" cm="1">
        <f t="array" ref="D18">-IFERROR(_xlfn.IFS(D$2="DB",DB!$AJ31,D$2="BT",BT!$AJ31,D$2="DBO",DBO!$AJ31,D$2="BTO",BTO!$AJ31,D$2="BOT/BOO",BOT・BOO!$AJ31),0)</f>
        <v>0</v>
      </c>
      <c r="E18" s="212" cm="1">
        <f t="array" ref="E18">-IFERROR(_xlfn.IFS(D$2="DB",DB!$BC31,D$2="BT",BT!$BC31,D$2="DBO",DBO!$BC31,D$2="BTO",BTO!$BC31,D$2="BOT/BOO",BOT・BOO!$BC31),0)</f>
        <v>0</v>
      </c>
      <c r="F18" s="212" cm="1">
        <f t="array" ref="F18">-IFERROR(_xlfn.IFS(F$2="DB",DB!$AJ31,F$2="BT",BT!$AJ31,F$2="DBO",DBO!$AJ31,F$2="BTO",BTO!$AJ31,F$2="BOT/BOO",BOT・BOO!$AJ31),0)</f>
        <v>0</v>
      </c>
      <c r="G18" s="212" cm="1">
        <f t="array" ref="G18">-IFERROR(_xlfn.IFS(F$2="DB",DB!$BC31,F$2="BT",BT!$BC31,F$2="DBO",DBO!$BC31,F$2="BTO",BTO!$BC31,F$2="BOT/BOO",BOT・BOO!$BC31),0)</f>
        <v>0</v>
      </c>
      <c r="H18" s="212" cm="1">
        <f t="array" ref="H18">-IFERROR(_xlfn.IFS(H$2="DB",DB!$AJ31,H$2="BT",BT!$AJ31,H$2="DBO",DBO!$AJ31,H$2="BTO",BTO!$AJ31,H$2="BOT/BOO",BOT・BOO!$AJ31),0)</f>
        <v>0</v>
      </c>
      <c r="I18" s="212" cm="1">
        <f t="array" ref="I18">-IFERROR(_xlfn.IFS(H$2="DB",DB!$BC31,H$2="BT",BT!$BC31,H$2="DBO",DBO!$BC31,H$2="BTO",BTO!$BC31,H$2="BOT/BOO",BOT・BOO!$BC31),0)</f>
        <v>0</v>
      </c>
      <c r="J18" s="212" cm="1">
        <f t="array" ref="J18">-IFERROR(_xlfn.IFS(J$2="DB",DB!$AJ31,J$2="BT",BT!$AJ31,J$2="DBO",DBO!$AJ31,J$2="BTO",BTO!$AJ31,J$2="BOT/BOO",BOT・BOO!$AJ31),0)</f>
        <v>0</v>
      </c>
      <c r="K18" s="212" cm="1">
        <f t="array" ref="K18">-IFERROR(_xlfn.IFS(J$2="DB",DB!$BC31,J$2="BT",BT!$BC31,J$2="DBO",DBO!$BC31,J$2="BTO",BTO!$BC31,J$2="BOT/BOO",BOT・BOO!$BC31),0)</f>
        <v>0</v>
      </c>
      <c r="L18" s="212" cm="1">
        <f t="array" ref="L18">-IFERROR(_xlfn.IFS(L$2="DB",DB!$AJ31,L$2="BT",BT!$AJ31,L$2="DBO",DBO!$AJ31,L$2="BTO",BTO!$AJ31,L$2="BOT/BOO",BOT・BOO!$AJ31),0)</f>
        <v>0</v>
      </c>
      <c r="M18" s="212" cm="1">
        <f t="array" ref="M18">-IFERROR(_xlfn.IFS(L$2="DB",DB!$BC31,L$2="BT",BT!$BC31,L$2="DBO",DBO!$BC31,L$2="BTO",BTO!$BC31,L$2="BOT/BOO",BOT・BOO!$BC31),0)</f>
        <v>0</v>
      </c>
    </row>
    <row r="19" spans="3:13">
      <c r="C19" s="27">
        <v>16</v>
      </c>
      <c r="D19" s="212" cm="1">
        <f t="array" ref="D19">-IFERROR(_xlfn.IFS(D$2="DB",DB!$AJ32,D$2="BT",BT!$AJ32,D$2="DBO",DBO!$AJ32,D$2="BTO",BTO!$AJ32,D$2="BOT/BOO",BOT・BOO!$AJ32),0)</f>
        <v>0</v>
      </c>
      <c r="E19" s="212" cm="1">
        <f t="array" ref="E19">-IFERROR(_xlfn.IFS(D$2="DB",DB!$BC32,D$2="BT",BT!$BC32,D$2="DBO",DBO!$BC32,D$2="BTO",BTO!$BC32,D$2="BOT/BOO",BOT・BOO!$BC32),0)</f>
        <v>0</v>
      </c>
      <c r="F19" s="212" cm="1">
        <f t="array" ref="F19">-IFERROR(_xlfn.IFS(F$2="DB",DB!$AJ32,F$2="BT",BT!$AJ32,F$2="DBO",DBO!$AJ32,F$2="BTO",BTO!$AJ32,F$2="BOT/BOO",BOT・BOO!$AJ32),0)</f>
        <v>0</v>
      </c>
      <c r="G19" s="212" cm="1">
        <f t="array" ref="G19">-IFERROR(_xlfn.IFS(F$2="DB",DB!$BC32,F$2="BT",BT!$BC32,F$2="DBO",DBO!$BC32,F$2="BTO",BTO!$BC32,F$2="BOT/BOO",BOT・BOO!$BC32),0)</f>
        <v>0</v>
      </c>
      <c r="H19" s="212" cm="1">
        <f t="array" ref="H19">-IFERROR(_xlfn.IFS(H$2="DB",DB!$AJ32,H$2="BT",BT!$AJ32,H$2="DBO",DBO!$AJ32,H$2="BTO",BTO!$AJ32,H$2="BOT/BOO",BOT・BOO!$AJ32),0)</f>
        <v>0</v>
      </c>
      <c r="I19" s="212" cm="1">
        <f t="array" ref="I19">-IFERROR(_xlfn.IFS(H$2="DB",DB!$BC32,H$2="BT",BT!$BC32,H$2="DBO",DBO!$BC32,H$2="BTO",BTO!$BC32,H$2="BOT/BOO",BOT・BOO!$BC32),0)</f>
        <v>0</v>
      </c>
      <c r="J19" s="212" cm="1">
        <f t="array" ref="J19">-IFERROR(_xlfn.IFS(J$2="DB",DB!$AJ32,J$2="BT",BT!$AJ32,J$2="DBO",DBO!$AJ32,J$2="BTO",BTO!$AJ32,J$2="BOT/BOO",BOT・BOO!$AJ32),0)</f>
        <v>0</v>
      </c>
      <c r="K19" s="212" cm="1">
        <f t="array" ref="K19">-IFERROR(_xlfn.IFS(J$2="DB",DB!$BC32,J$2="BT",BT!$BC32,J$2="DBO",DBO!$BC32,J$2="BTO",BTO!$BC32,J$2="BOT/BOO",BOT・BOO!$BC32),0)</f>
        <v>0</v>
      </c>
      <c r="L19" s="212" cm="1">
        <f t="array" ref="L19">-IFERROR(_xlfn.IFS(L$2="DB",DB!$AJ32,L$2="BT",BT!$AJ32,L$2="DBO",DBO!$AJ32,L$2="BTO",BTO!$AJ32,L$2="BOT/BOO",BOT・BOO!$AJ32),0)</f>
        <v>0</v>
      </c>
      <c r="M19" s="212" cm="1">
        <f t="array" ref="M19">-IFERROR(_xlfn.IFS(L$2="DB",DB!$BC32,L$2="BT",BT!$BC32,L$2="DBO",DBO!$BC32,L$2="BTO",BTO!$BC32,L$2="BOT/BOO",BOT・BOO!$BC32),0)</f>
        <v>0</v>
      </c>
    </row>
    <row r="20" spans="3:13">
      <c r="C20" s="27">
        <v>17</v>
      </c>
      <c r="D20" s="212" cm="1">
        <f t="array" ref="D20">-IFERROR(_xlfn.IFS(D$2="DB",DB!$AJ33,D$2="BT",BT!$AJ33,D$2="DBO",DBO!$AJ33,D$2="BTO",BTO!$AJ33,D$2="BOT/BOO",BOT・BOO!$AJ33),0)</f>
        <v>0</v>
      </c>
      <c r="E20" s="212" cm="1">
        <f t="array" ref="E20">-IFERROR(_xlfn.IFS(D$2="DB",DB!$BC33,D$2="BT",BT!$BC33,D$2="DBO",DBO!$BC33,D$2="BTO",BTO!$BC33,D$2="BOT/BOO",BOT・BOO!$BC33),0)</f>
        <v>0</v>
      </c>
      <c r="F20" s="212" cm="1">
        <f t="array" ref="F20">-IFERROR(_xlfn.IFS(F$2="DB",DB!$AJ33,F$2="BT",BT!$AJ33,F$2="DBO",DBO!$AJ33,F$2="BTO",BTO!$AJ33,F$2="BOT/BOO",BOT・BOO!$AJ33),0)</f>
        <v>0</v>
      </c>
      <c r="G20" s="212" cm="1">
        <f t="array" ref="G20">-IFERROR(_xlfn.IFS(F$2="DB",DB!$BC33,F$2="BT",BT!$BC33,F$2="DBO",DBO!$BC33,F$2="BTO",BTO!$BC33,F$2="BOT/BOO",BOT・BOO!$BC33),0)</f>
        <v>0</v>
      </c>
      <c r="H20" s="212" cm="1">
        <f t="array" ref="H20">-IFERROR(_xlfn.IFS(H$2="DB",DB!$AJ33,H$2="BT",BT!$AJ33,H$2="DBO",DBO!$AJ33,H$2="BTO",BTO!$AJ33,H$2="BOT/BOO",BOT・BOO!$AJ33),0)</f>
        <v>0</v>
      </c>
      <c r="I20" s="212" cm="1">
        <f t="array" ref="I20">-IFERROR(_xlfn.IFS(H$2="DB",DB!$BC33,H$2="BT",BT!$BC33,H$2="DBO",DBO!$BC33,H$2="BTO",BTO!$BC33,H$2="BOT/BOO",BOT・BOO!$BC33),0)</f>
        <v>0</v>
      </c>
      <c r="J20" s="212" cm="1">
        <f t="array" ref="J20">-IFERROR(_xlfn.IFS(J$2="DB",DB!$AJ33,J$2="BT",BT!$AJ33,J$2="DBO",DBO!$AJ33,J$2="BTO",BTO!$AJ33,J$2="BOT/BOO",BOT・BOO!$AJ33),0)</f>
        <v>0</v>
      </c>
      <c r="K20" s="212" cm="1">
        <f t="array" ref="K20">-IFERROR(_xlfn.IFS(J$2="DB",DB!$BC33,J$2="BT",BT!$BC33,J$2="DBO",DBO!$BC33,J$2="BTO",BTO!$BC33,J$2="BOT/BOO",BOT・BOO!$BC33),0)</f>
        <v>0</v>
      </c>
      <c r="L20" s="212" cm="1">
        <f t="array" ref="L20">-IFERROR(_xlfn.IFS(L$2="DB",DB!$AJ33,L$2="BT",BT!$AJ33,L$2="DBO",DBO!$AJ33,L$2="BTO",BTO!$AJ33,L$2="BOT/BOO",BOT・BOO!$AJ33),0)</f>
        <v>0</v>
      </c>
      <c r="M20" s="212" cm="1">
        <f t="array" ref="M20">-IFERROR(_xlfn.IFS(L$2="DB",DB!$BC33,L$2="BT",BT!$BC33,L$2="DBO",DBO!$BC33,L$2="BTO",BTO!$BC33,L$2="BOT/BOO",BOT・BOO!$BC33),0)</f>
        <v>0</v>
      </c>
    </row>
    <row r="21" spans="3:13">
      <c r="C21" s="27">
        <v>18</v>
      </c>
      <c r="D21" s="212" cm="1">
        <f t="array" ref="D21">-IFERROR(_xlfn.IFS(D$2="DB",DB!$AJ34,D$2="BT",BT!$AJ34,D$2="DBO",DBO!$AJ34,D$2="BTO",BTO!$AJ34,D$2="BOT/BOO",BOT・BOO!$AJ34),0)</f>
        <v>0</v>
      </c>
      <c r="E21" s="212" cm="1">
        <f t="array" ref="E21">-IFERROR(_xlfn.IFS(D$2="DB",DB!$BC34,D$2="BT",BT!$BC34,D$2="DBO",DBO!$BC34,D$2="BTO",BTO!$BC34,D$2="BOT/BOO",BOT・BOO!$BC34),0)</f>
        <v>0</v>
      </c>
      <c r="F21" s="212" cm="1">
        <f t="array" ref="F21">-IFERROR(_xlfn.IFS(F$2="DB",DB!$AJ34,F$2="BT",BT!$AJ34,F$2="DBO",DBO!$AJ34,F$2="BTO",BTO!$AJ34,F$2="BOT/BOO",BOT・BOO!$AJ34),0)</f>
        <v>0</v>
      </c>
      <c r="G21" s="212" cm="1">
        <f t="array" ref="G21">-IFERROR(_xlfn.IFS(F$2="DB",DB!$BC34,F$2="BT",BT!$BC34,F$2="DBO",DBO!$BC34,F$2="BTO",BTO!$BC34,F$2="BOT/BOO",BOT・BOO!$BC34),0)</f>
        <v>0</v>
      </c>
      <c r="H21" s="212" cm="1">
        <f t="array" ref="H21">-IFERROR(_xlfn.IFS(H$2="DB",DB!$AJ34,H$2="BT",BT!$AJ34,H$2="DBO",DBO!$AJ34,H$2="BTO",BTO!$AJ34,H$2="BOT/BOO",BOT・BOO!$AJ34),0)</f>
        <v>0</v>
      </c>
      <c r="I21" s="212" cm="1">
        <f t="array" ref="I21">-IFERROR(_xlfn.IFS(H$2="DB",DB!$BC34,H$2="BT",BT!$BC34,H$2="DBO",DBO!$BC34,H$2="BTO",BTO!$BC34,H$2="BOT/BOO",BOT・BOO!$BC34),0)</f>
        <v>0</v>
      </c>
      <c r="J21" s="212" cm="1">
        <f t="array" ref="J21">-IFERROR(_xlfn.IFS(J$2="DB",DB!$AJ34,J$2="BT",BT!$AJ34,J$2="DBO",DBO!$AJ34,J$2="BTO",BTO!$AJ34,J$2="BOT/BOO",BOT・BOO!$AJ34),0)</f>
        <v>0</v>
      </c>
      <c r="K21" s="212" cm="1">
        <f t="array" ref="K21">-IFERROR(_xlfn.IFS(J$2="DB",DB!$BC34,J$2="BT",BT!$BC34,J$2="DBO",DBO!$BC34,J$2="BTO",BTO!$BC34,J$2="BOT/BOO",BOT・BOO!$BC34),0)</f>
        <v>0</v>
      </c>
      <c r="L21" s="212" cm="1">
        <f t="array" ref="L21">-IFERROR(_xlfn.IFS(L$2="DB",DB!$AJ34,L$2="BT",BT!$AJ34,L$2="DBO",DBO!$AJ34,L$2="BTO",BTO!$AJ34,L$2="BOT/BOO",BOT・BOO!$AJ34),0)</f>
        <v>0</v>
      </c>
      <c r="M21" s="212" cm="1">
        <f t="array" ref="M21">-IFERROR(_xlfn.IFS(L$2="DB",DB!$BC34,L$2="BT",BT!$BC34,L$2="DBO",DBO!$BC34,L$2="BTO",BTO!$BC34,L$2="BOT/BOO",BOT・BOO!$BC34),0)</f>
        <v>0</v>
      </c>
    </row>
    <row r="22" spans="3:13">
      <c r="C22" s="27">
        <v>19</v>
      </c>
      <c r="D22" s="212" cm="1">
        <f t="array" ref="D22">-IFERROR(_xlfn.IFS(D$2="DB",DB!$AJ35,D$2="BT",BT!$AJ35,D$2="DBO",DBO!$AJ35,D$2="BTO",BTO!$AJ35,D$2="BOT/BOO",BOT・BOO!$AJ35),0)</f>
        <v>0</v>
      </c>
      <c r="E22" s="212" cm="1">
        <f t="array" ref="E22">-IFERROR(_xlfn.IFS(D$2="DB",DB!$BC35,D$2="BT",BT!$BC35,D$2="DBO",DBO!$BC35,D$2="BTO",BTO!$BC35,D$2="BOT/BOO",BOT・BOO!$BC35),0)</f>
        <v>0</v>
      </c>
      <c r="F22" s="212" cm="1">
        <f t="array" ref="F22">-IFERROR(_xlfn.IFS(F$2="DB",DB!$AJ35,F$2="BT",BT!$AJ35,F$2="DBO",DBO!$AJ35,F$2="BTO",BTO!$AJ35,F$2="BOT/BOO",BOT・BOO!$AJ35),0)</f>
        <v>0</v>
      </c>
      <c r="G22" s="212" cm="1">
        <f t="array" ref="G22">-IFERROR(_xlfn.IFS(F$2="DB",DB!$BC35,F$2="BT",BT!$BC35,F$2="DBO",DBO!$BC35,F$2="BTO",BTO!$BC35,F$2="BOT/BOO",BOT・BOO!$BC35),0)</f>
        <v>0</v>
      </c>
      <c r="H22" s="212" cm="1">
        <f t="array" ref="H22">-IFERROR(_xlfn.IFS(H$2="DB",DB!$AJ35,H$2="BT",BT!$AJ35,H$2="DBO",DBO!$AJ35,H$2="BTO",BTO!$AJ35,H$2="BOT/BOO",BOT・BOO!$AJ35),0)</f>
        <v>0</v>
      </c>
      <c r="I22" s="212" cm="1">
        <f t="array" ref="I22">-IFERROR(_xlfn.IFS(H$2="DB",DB!$BC35,H$2="BT",BT!$BC35,H$2="DBO",DBO!$BC35,H$2="BTO",BTO!$BC35,H$2="BOT/BOO",BOT・BOO!$BC35),0)</f>
        <v>0</v>
      </c>
      <c r="J22" s="212" cm="1">
        <f t="array" ref="J22">-IFERROR(_xlfn.IFS(J$2="DB",DB!$AJ35,J$2="BT",BT!$AJ35,J$2="DBO",DBO!$AJ35,J$2="BTO",BTO!$AJ35,J$2="BOT/BOO",BOT・BOO!$AJ35),0)</f>
        <v>0</v>
      </c>
      <c r="K22" s="212" cm="1">
        <f t="array" ref="K22">-IFERROR(_xlfn.IFS(J$2="DB",DB!$BC35,J$2="BT",BT!$BC35,J$2="DBO",DBO!$BC35,J$2="BTO",BTO!$BC35,J$2="BOT/BOO",BOT・BOO!$BC35),0)</f>
        <v>0</v>
      </c>
      <c r="L22" s="212" cm="1">
        <f t="array" ref="L22">-IFERROR(_xlfn.IFS(L$2="DB",DB!$AJ35,L$2="BT",BT!$AJ35,L$2="DBO",DBO!$AJ35,L$2="BTO",BTO!$AJ35,L$2="BOT/BOO",BOT・BOO!$AJ35),0)</f>
        <v>0</v>
      </c>
      <c r="M22" s="212" cm="1">
        <f t="array" ref="M22">-IFERROR(_xlfn.IFS(L$2="DB",DB!$BC35,L$2="BT",BT!$BC35,L$2="DBO",DBO!$BC35,L$2="BTO",BTO!$BC35,L$2="BOT/BOO",BOT・BOO!$BC35),0)</f>
        <v>0</v>
      </c>
    </row>
    <row r="23" spans="3:13">
      <c r="C23" s="27">
        <v>20</v>
      </c>
      <c r="D23" s="212" cm="1">
        <f t="array" ref="D23">-IFERROR(_xlfn.IFS(D$2="DB",DB!$AJ36,D$2="BT",BT!$AJ36,D$2="DBO",DBO!$AJ36,D$2="BTO",BTO!$AJ36,D$2="BOT/BOO",BOT・BOO!$AJ36),0)</f>
        <v>0</v>
      </c>
      <c r="E23" s="212" cm="1">
        <f t="array" ref="E23">-IFERROR(_xlfn.IFS(D$2="DB",DB!$BC36,D$2="BT",BT!$BC36,D$2="DBO",DBO!$BC36,D$2="BTO",BTO!$BC36,D$2="BOT/BOO",BOT・BOO!$BC36),0)</f>
        <v>0</v>
      </c>
      <c r="F23" s="212" cm="1">
        <f t="array" ref="F23">-IFERROR(_xlfn.IFS(F$2="DB",DB!$AJ36,F$2="BT",BT!$AJ36,F$2="DBO",DBO!$AJ36,F$2="BTO",BTO!$AJ36,F$2="BOT/BOO",BOT・BOO!$AJ36),0)</f>
        <v>0</v>
      </c>
      <c r="G23" s="212" cm="1">
        <f t="array" ref="G23">-IFERROR(_xlfn.IFS(F$2="DB",DB!$BC36,F$2="BT",BT!$BC36,F$2="DBO",DBO!$BC36,F$2="BTO",BTO!$BC36,F$2="BOT/BOO",BOT・BOO!$BC36),0)</f>
        <v>0</v>
      </c>
      <c r="H23" s="212" cm="1">
        <f t="array" ref="H23">-IFERROR(_xlfn.IFS(H$2="DB",DB!$AJ36,H$2="BT",BT!$AJ36,H$2="DBO",DBO!$AJ36,H$2="BTO",BTO!$AJ36,H$2="BOT/BOO",BOT・BOO!$AJ36),0)</f>
        <v>0</v>
      </c>
      <c r="I23" s="212" cm="1">
        <f t="array" ref="I23">-IFERROR(_xlfn.IFS(H$2="DB",DB!$BC36,H$2="BT",BT!$BC36,H$2="DBO",DBO!$BC36,H$2="BTO",BTO!$BC36,H$2="BOT/BOO",BOT・BOO!$BC36),0)</f>
        <v>0</v>
      </c>
      <c r="J23" s="212" cm="1">
        <f t="array" ref="J23">-IFERROR(_xlfn.IFS(J$2="DB",DB!$AJ36,J$2="BT",BT!$AJ36,J$2="DBO",DBO!$AJ36,J$2="BTO",BTO!$AJ36,J$2="BOT/BOO",BOT・BOO!$AJ36),0)</f>
        <v>0</v>
      </c>
      <c r="K23" s="212" cm="1">
        <f t="array" ref="K23">-IFERROR(_xlfn.IFS(J$2="DB",DB!$BC36,J$2="BT",BT!$BC36,J$2="DBO",DBO!$BC36,J$2="BTO",BTO!$BC36,J$2="BOT/BOO",BOT・BOO!$BC36),0)</f>
        <v>0</v>
      </c>
      <c r="L23" s="212" cm="1">
        <f t="array" ref="L23">-IFERROR(_xlfn.IFS(L$2="DB",DB!$AJ36,L$2="BT",BT!$AJ36,L$2="DBO",DBO!$AJ36,L$2="BTO",BTO!$AJ36,L$2="BOT/BOO",BOT・BOO!$AJ36),0)</f>
        <v>0</v>
      </c>
      <c r="M23" s="212" cm="1">
        <f t="array" ref="M23">-IFERROR(_xlfn.IFS(L$2="DB",DB!$BC36,L$2="BT",BT!$BC36,L$2="DBO",DBO!$BC36,L$2="BTO",BTO!$BC36,L$2="BOT/BOO",BOT・BOO!$BC36),0)</f>
        <v>0</v>
      </c>
    </row>
    <row r="24" spans="3:13">
      <c r="C24" s="27">
        <v>21</v>
      </c>
      <c r="D24" s="212" cm="1">
        <f t="array" ref="D24">-IFERROR(_xlfn.IFS(D$2="DB",DB!$AJ37,D$2="BT",BT!$AJ37,D$2="DBO",DBO!$AJ37,D$2="BTO",BTO!$AJ37,D$2="BOT/BOO",BOT・BOO!$AJ37),0)</f>
        <v>0</v>
      </c>
      <c r="E24" s="212" cm="1">
        <f t="array" ref="E24">-IFERROR(_xlfn.IFS(D$2="DB",DB!$BC37,D$2="BT",BT!$BC37,D$2="DBO",DBO!$BC37,D$2="BTO",BTO!$BC37,D$2="BOT/BOO",BOT・BOO!$BC37),0)</f>
        <v>0</v>
      </c>
      <c r="F24" s="212" cm="1">
        <f t="array" ref="F24">-IFERROR(_xlfn.IFS(F$2="DB",DB!$AJ37,F$2="BT",BT!$AJ37,F$2="DBO",DBO!$AJ37,F$2="BTO",BTO!$AJ37,F$2="BOT/BOO",BOT・BOO!$AJ37),0)</f>
        <v>0</v>
      </c>
      <c r="G24" s="212" cm="1">
        <f t="array" ref="G24">-IFERROR(_xlfn.IFS(F$2="DB",DB!$BC37,F$2="BT",BT!$BC37,F$2="DBO",DBO!$BC37,F$2="BTO",BTO!$BC37,F$2="BOT/BOO",BOT・BOO!$BC37),0)</f>
        <v>0</v>
      </c>
      <c r="H24" s="212" cm="1">
        <f t="array" ref="H24">-IFERROR(_xlfn.IFS(H$2="DB",DB!$AJ37,H$2="BT",BT!$AJ37,H$2="DBO",DBO!$AJ37,H$2="BTO",BTO!$AJ37,H$2="BOT/BOO",BOT・BOO!$AJ37),0)</f>
        <v>0</v>
      </c>
      <c r="I24" s="212" cm="1">
        <f t="array" ref="I24">-IFERROR(_xlfn.IFS(H$2="DB",DB!$BC37,H$2="BT",BT!$BC37,H$2="DBO",DBO!$BC37,H$2="BTO",BTO!$BC37,H$2="BOT/BOO",BOT・BOO!$BC37),0)</f>
        <v>0</v>
      </c>
      <c r="J24" s="212" cm="1">
        <f t="array" ref="J24">-IFERROR(_xlfn.IFS(J$2="DB",DB!$AJ37,J$2="BT",BT!$AJ37,J$2="DBO",DBO!$AJ37,J$2="BTO",BTO!$AJ37,J$2="BOT/BOO",BOT・BOO!$AJ37),0)</f>
        <v>0</v>
      </c>
      <c r="K24" s="212" cm="1">
        <f t="array" ref="K24">-IFERROR(_xlfn.IFS(J$2="DB",DB!$BC37,J$2="BT",BT!$BC37,J$2="DBO",DBO!$BC37,J$2="BTO",BTO!$BC37,J$2="BOT/BOO",BOT・BOO!$BC37),0)</f>
        <v>0</v>
      </c>
      <c r="L24" s="212" cm="1">
        <f t="array" ref="L24">-IFERROR(_xlfn.IFS(L$2="DB",DB!$AJ37,L$2="BT",BT!$AJ37,L$2="DBO",DBO!$AJ37,L$2="BTO",BTO!$AJ37,L$2="BOT/BOO",BOT・BOO!$AJ37),0)</f>
        <v>0</v>
      </c>
      <c r="M24" s="212" cm="1">
        <f t="array" ref="M24">-IFERROR(_xlfn.IFS(L$2="DB",DB!$BC37,L$2="BT",BT!$BC37,L$2="DBO",DBO!$BC37,L$2="BTO",BTO!$BC37,L$2="BOT/BOO",BOT・BOO!$BC37),0)</f>
        <v>0</v>
      </c>
    </row>
    <row r="25" spans="3:13">
      <c r="C25" s="27">
        <v>22</v>
      </c>
      <c r="D25" s="212" cm="1">
        <f t="array" ref="D25">-IFERROR(_xlfn.IFS(D$2="DB",DB!$AJ38,D$2="BT",BT!$AJ38,D$2="DBO",DBO!$AJ38,D$2="BTO",BTO!$AJ38,D$2="BOT/BOO",BOT・BOO!$AJ38),0)</f>
        <v>0</v>
      </c>
      <c r="E25" s="212" cm="1">
        <f t="array" ref="E25">-IFERROR(_xlfn.IFS(D$2="DB",DB!$BC38,D$2="BT",BT!$BC38,D$2="DBO",DBO!$BC38,D$2="BTO",BTO!$BC38,D$2="BOT/BOO",BOT・BOO!$BC38),0)</f>
        <v>0</v>
      </c>
      <c r="F25" s="212" cm="1">
        <f t="array" ref="F25">-IFERROR(_xlfn.IFS(F$2="DB",DB!$AJ38,F$2="BT",BT!$AJ38,F$2="DBO",DBO!$AJ38,F$2="BTO",BTO!$AJ38,F$2="BOT/BOO",BOT・BOO!$AJ38),0)</f>
        <v>0</v>
      </c>
      <c r="G25" s="212" cm="1">
        <f t="array" ref="G25">-IFERROR(_xlfn.IFS(F$2="DB",DB!$BC38,F$2="BT",BT!$BC38,F$2="DBO",DBO!$BC38,F$2="BTO",BTO!$BC38,F$2="BOT/BOO",BOT・BOO!$BC38),0)</f>
        <v>0</v>
      </c>
      <c r="H25" s="212" cm="1">
        <f t="array" ref="H25">-IFERROR(_xlfn.IFS(H$2="DB",DB!$AJ38,H$2="BT",BT!$AJ38,H$2="DBO",DBO!$AJ38,H$2="BTO",BTO!$AJ38,H$2="BOT/BOO",BOT・BOO!$AJ38),0)</f>
        <v>0</v>
      </c>
      <c r="I25" s="212" cm="1">
        <f t="array" ref="I25">-IFERROR(_xlfn.IFS(H$2="DB",DB!$BC38,H$2="BT",BT!$BC38,H$2="DBO",DBO!$BC38,H$2="BTO",BTO!$BC38,H$2="BOT/BOO",BOT・BOO!$BC38),0)</f>
        <v>0</v>
      </c>
      <c r="J25" s="212" cm="1">
        <f t="array" ref="J25">-IFERROR(_xlfn.IFS(J$2="DB",DB!$AJ38,J$2="BT",BT!$AJ38,J$2="DBO",DBO!$AJ38,J$2="BTO",BTO!$AJ38,J$2="BOT/BOO",BOT・BOO!$AJ38),0)</f>
        <v>0</v>
      </c>
      <c r="K25" s="212" cm="1">
        <f t="array" ref="K25">-IFERROR(_xlfn.IFS(J$2="DB",DB!$BC38,J$2="BT",BT!$BC38,J$2="DBO",DBO!$BC38,J$2="BTO",BTO!$BC38,J$2="BOT/BOO",BOT・BOO!$BC38),0)</f>
        <v>0</v>
      </c>
      <c r="L25" s="212" cm="1">
        <f t="array" ref="L25">-IFERROR(_xlfn.IFS(L$2="DB",DB!$AJ38,L$2="BT",BT!$AJ38,L$2="DBO",DBO!$AJ38,L$2="BTO",BTO!$AJ38,L$2="BOT/BOO",BOT・BOO!$AJ38),0)</f>
        <v>0</v>
      </c>
      <c r="M25" s="212" cm="1">
        <f t="array" ref="M25">-IFERROR(_xlfn.IFS(L$2="DB",DB!$BC38,L$2="BT",BT!$BC38,L$2="DBO",DBO!$BC38,L$2="BTO",BTO!$BC38,L$2="BOT/BOO",BOT・BOO!$BC38),0)</f>
        <v>0</v>
      </c>
    </row>
    <row r="26" spans="3:13">
      <c r="C26" s="27">
        <v>23</v>
      </c>
      <c r="D26" s="212" cm="1">
        <f t="array" ref="D26">-IFERROR(_xlfn.IFS(D$2="DB",DB!$AJ39,D$2="BT",BT!$AJ39,D$2="DBO",DBO!$AJ39,D$2="BTO",BTO!$AJ39,D$2="BOT/BOO",BOT・BOO!$AJ39),0)</f>
        <v>0</v>
      </c>
      <c r="E26" s="212" cm="1">
        <f t="array" ref="E26">-IFERROR(_xlfn.IFS(D$2="DB",DB!$BC39,D$2="BT",BT!$BC39,D$2="DBO",DBO!$BC39,D$2="BTO",BTO!$BC39,D$2="BOT/BOO",BOT・BOO!$BC39),0)</f>
        <v>0</v>
      </c>
      <c r="F26" s="212" cm="1">
        <f t="array" ref="F26">-IFERROR(_xlfn.IFS(F$2="DB",DB!$AJ39,F$2="BT",BT!$AJ39,F$2="DBO",DBO!$AJ39,F$2="BTO",BTO!$AJ39,F$2="BOT/BOO",BOT・BOO!$AJ39),0)</f>
        <v>0</v>
      </c>
      <c r="G26" s="212" cm="1">
        <f t="array" ref="G26">-IFERROR(_xlfn.IFS(F$2="DB",DB!$BC39,F$2="BT",BT!$BC39,F$2="DBO",DBO!$BC39,F$2="BTO",BTO!$BC39,F$2="BOT/BOO",BOT・BOO!$BC39),0)</f>
        <v>0</v>
      </c>
      <c r="H26" s="212" cm="1">
        <f t="array" ref="H26">-IFERROR(_xlfn.IFS(H$2="DB",DB!$AJ39,H$2="BT",BT!$AJ39,H$2="DBO",DBO!$AJ39,H$2="BTO",BTO!$AJ39,H$2="BOT/BOO",BOT・BOO!$AJ39),0)</f>
        <v>0</v>
      </c>
      <c r="I26" s="212" cm="1">
        <f t="array" ref="I26">-IFERROR(_xlfn.IFS(H$2="DB",DB!$BC39,H$2="BT",BT!$BC39,H$2="DBO",DBO!$BC39,H$2="BTO",BTO!$BC39,H$2="BOT/BOO",BOT・BOO!$BC39),0)</f>
        <v>0</v>
      </c>
      <c r="J26" s="212" cm="1">
        <f t="array" ref="J26">-IFERROR(_xlfn.IFS(J$2="DB",DB!$AJ39,J$2="BT",BT!$AJ39,J$2="DBO",DBO!$AJ39,J$2="BTO",BTO!$AJ39,J$2="BOT/BOO",BOT・BOO!$AJ39),0)</f>
        <v>0</v>
      </c>
      <c r="K26" s="212" cm="1">
        <f t="array" ref="K26">-IFERROR(_xlfn.IFS(J$2="DB",DB!$BC39,J$2="BT",BT!$BC39,J$2="DBO",DBO!$BC39,J$2="BTO",BTO!$BC39,J$2="BOT/BOO",BOT・BOO!$BC39),0)</f>
        <v>0</v>
      </c>
      <c r="L26" s="212" cm="1">
        <f t="array" ref="L26">-IFERROR(_xlfn.IFS(L$2="DB",DB!$AJ39,L$2="BT",BT!$AJ39,L$2="DBO",DBO!$AJ39,L$2="BTO",BTO!$AJ39,L$2="BOT/BOO",BOT・BOO!$AJ39),0)</f>
        <v>0</v>
      </c>
      <c r="M26" s="212" cm="1">
        <f t="array" ref="M26">-IFERROR(_xlfn.IFS(L$2="DB",DB!$BC39,L$2="BT",BT!$BC39,L$2="DBO",DBO!$BC39,L$2="BTO",BTO!$BC39,L$2="BOT/BOO",BOT・BOO!$BC39),0)</f>
        <v>0</v>
      </c>
    </row>
    <row r="27" spans="3:13">
      <c r="C27" s="27">
        <v>24</v>
      </c>
      <c r="D27" s="212" cm="1">
        <f t="array" ref="D27">-IFERROR(_xlfn.IFS(D$2="DB",DB!$AJ40,D$2="BT",BT!$AJ40,D$2="DBO",DBO!$AJ40,D$2="BTO",BTO!$AJ40,D$2="BOT/BOO",BOT・BOO!$AJ40),0)</f>
        <v>0</v>
      </c>
      <c r="E27" s="212" cm="1">
        <f t="array" ref="E27">-IFERROR(_xlfn.IFS(D$2="DB",DB!$BC40,D$2="BT",BT!$BC40,D$2="DBO",DBO!$BC40,D$2="BTO",BTO!$BC40,D$2="BOT/BOO",BOT・BOO!$BC40),0)</f>
        <v>0</v>
      </c>
      <c r="F27" s="212" cm="1">
        <f t="array" ref="F27">-IFERROR(_xlfn.IFS(F$2="DB",DB!$AJ40,F$2="BT",BT!$AJ40,F$2="DBO",DBO!$AJ40,F$2="BTO",BTO!$AJ40,F$2="BOT/BOO",BOT・BOO!$AJ40),0)</f>
        <v>0</v>
      </c>
      <c r="G27" s="212" cm="1">
        <f t="array" ref="G27">-IFERROR(_xlfn.IFS(F$2="DB",DB!$BC40,F$2="BT",BT!$BC40,F$2="DBO",DBO!$BC40,F$2="BTO",BTO!$BC40,F$2="BOT/BOO",BOT・BOO!$BC40),0)</f>
        <v>0</v>
      </c>
      <c r="H27" s="212" cm="1">
        <f t="array" ref="H27">-IFERROR(_xlfn.IFS(H$2="DB",DB!$AJ40,H$2="BT",BT!$AJ40,H$2="DBO",DBO!$AJ40,H$2="BTO",BTO!$AJ40,H$2="BOT/BOO",BOT・BOO!$AJ40),0)</f>
        <v>0</v>
      </c>
      <c r="I27" s="212" cm="1">
        <f t="array" ref="I27">-IFERROR(_xlfn.IFS(H$2="DB",DB!$BC40,H$2="BT",BT!$BC40,H$2="DBO",DBO!$BC40,H$2="BTO",BTO!$BC40,H$2="BOT/BOO",BOT・BOO!$BC40),0)</f>
        <v>0</v>
      </c>
      <c r="J27" s="212" cm="1">
        <f t="array" ref="J27">-IFERROR(_xlfn.IFS(J$2="DB",DB!$AJ40,J$2="BT",BT!$AJ40,J$2="DBO",DBO!$AJ40,J$2="BTO",BTO!$AJ40,J$2="BOT/BOO",BOT・BOO!$AJ40),0)</f>
        <v>0</v>
      </c>
      <c r="K27" s="212" cm="1">
        <f t="array" ref="K27">-IFERROR(_xlfn.IFS(J$2="DB",DB!$BC40,J$2="BT",BT!$BC40,J$2="DBO",DBO!$BC40,J$2="BTO",BTO!$BC40,J$2="BOT/BOO",BOT・BOO!$BC40),0)</f>
        <v>0</v>
      </c>
      <c r="L27" s="212" cm="1">
        <f t="array" ref="L27">-IFERROR(_xlfn.IFS(L$2="DB",DB!$AJ40,L$2="BT",BT!$AJ40,L$2="DBO",DBO!$AJ40,L$2="BTO",BTO!$AJ40,L$2="BOT/BOO",BOT・BOO!$AJ40),0)</f>
        <v>0</v>
      </c>
      <c r="M27" s="212" cm="1">
        <f t="array" ref="M27">-IFERROR(_xlfn.IFS(L$2="DB",DB!$BC40,L$2="BT",BT!$BC40,L$2="DBO",DBO!$BC40,L$2="BTO",BTO!$BC40,L$2="BOT/BOO",BOT・BOO!$BC40),0)</f>
        <v>0</v>
      </c>
    </row>
    <row r="28" spans="3:13">
      <c r="C28" s="27">
        <v>25</v>
      </c>
      <c r="D28" s="212" cm="1">
        <f t="array" ref="D28">-IFERROR(_xlfn.IFS(D$2="DB",DB!$AJ41,D$2="BT",BT!$AJ41,D$2="DBO",DBO!$AJ41,D$2="BTO",BTO!$AJ41,D$2="BOT/BOO",BOT・BOO!$AJ41),0)</f>
        <v>0</v>
      </c>
      <c r="E28" s="212" cm="1">
        <f t="array" ref="E28">-IFERROR(_xlfn.IFS(D$2="DB",DB!$BC41,D$2="BT",BT!$BC41,D$2="DBO",DBO!$BC41,D$2="BTO",BTO!$BC41,D$2="BOT/BOO",BOT・BOO!$BC41),0)</f>
        <v>0</v>
      </c>
      <c r="F28" s="212" cm="1">
        <f t="array" ref="F28">-IFERROR(_xlfn.IFS(F$2="DB",DB!$AJ41,F$2="BT",BT!$AJ41,F$2="DBO",DBO!$AJ41,F$2="BTO",BTO!$AJ41,F$2="BOT/BOO",BOT・BOO!$AJ41),0)</f>
        <v>0</v>
      </c>
      <c r="G28" s="212" cm="1">
        <f t="array" ref="G28">-IFERROR(_xlfn.IFS(F$2="DB",DB!$BC41,F$2="BT",BT!$BC41,F$2="DBO",DBO!$BC41,F$2="BTO",BTO!$BC41,F$2="BOT/BOO",BOT・BOO!$BC41),0)</f>
        <v>0</v>
      </c>
      <c r="H28" s="212" cm="1">
        <f t="array" ref="H28">-IFERROR(_xlfn.IFS(H$2="DB",DB!$AJ41,H$2="BT",BT!$AJ41,H$2="DBO",DBO!$AJ41,H$2="BTO",BTO!$AJ41,H$2="BOT/BOO",BOT・BOO!$AJ41),0)</f>
        <v>0</v>
      </c>
      <c r="I28" s="212" cm="1">
        <f t="array" ref="I28">-IFERROR(_xlfn.IFS(H$2="DB",DB!$BC41,H$2="BT",BT!$BC41,H$2="DBO",DBO!$BC41,H$2="BTO",BTO!$BC41,H$2="BOT/BOO",BOT・BOO!$BC41),0)</f>
        <v>0</v>
      </c>
      <c r="J28" s="212" cm="1">
        <f t="array" ref="J28">-IFERROR(_xlfn.IFS(J$2="DB",DB!$AJ41,J$2="BT",BT!$AJ41,J$2="DBO",DBO!$AJ41,J$2="BTO",BTO!$AJ41,J$2="BOT/BOO",BOT・BOO!$AJ41),0)</f>
        <v>0</v>
      </c>
      <c r="K28" s="212" cm="1">
        <f t="array" ref="K28">-IFERROR(_xlfn.IFS(J$2="DB",DB!$BC41,J$2="BT",BT!$BC41,J$2="DBO",DBO!$BC41,J$2="BTO",BTO!$BC41,J$2="BOT/BOO",BOT・BOO!$BC41),0)</f>
        <v>0</v>
      </c>
      <c r="L28" s="212" cm="1">
        <f t="array" ref="L28">-IFERROR(_xlfn.IFS(L$2="DB",DB!$AJ41,L$2="BT",BT!$AJ41,L$2="DBO",DBO!$AJ41,L$2="BTO",BTO!$AJ41,L$2="BOT/BOO",BOT・BOO!$AJ41),0)</f>
        <v>0</v>
      </c>
      <c r="M28" s="212" cm="1">
        <f t="array" ref="M28">-IFERROR(_xlfn.IFS(L$2="DB",DB!$BC41,L$2="BT",BT!$BC41,L$2="DBO",DBO!$BC41,L$2="BTO",BTO!$BC41,L$2="BOT/BOO",BOT・BOO!$BC41),0)</f>
        <v>0</v>
      </c>
    </row>
    <row r="29" spans="3:13">
      <c r="C29" s="27">
        <v>26</v>
      </c>
      <c r="D29" s="212" cm="1">
        <f t="array" ref="D29">-IFERROR(_xlfn.IFS(D$2="DB",DB!$AJ42,D$2="BT",BT!$AJ42,D$2="DBO",DBO!$AJ42,D$2="BTO",BTO!$AJ42,D$2="BOT/BOO",BOT・BOO!$AJ42),0)</f>
        <v>0</v>
      </c>
      <c r="E29" s="212" cm="1">
        <f t="array" ref="E29">-IFERROR(_xlfn.IFS(D$2="DB",DB!$BC42,D$2="BT",BT!$BC42,D$2="DBO",DBO!$BC42,D$2="BTO",BTO!$BC42,D$2="BOT/BOO",BOT・BOO!$BC42),0)</f>
        <v>0</v>
      </c>
      <c r="F29" s="212" cm="1">
        <f t="array" ref="F29">-IFERROR(_xlfn.IFS(F$2="DB",DB!$AJ42,F$2="BT",BT!$AJ42,F$2="DBO",DBO!$AJ42,F$2="BTO",BTO!$AJ42,F$2="BOT/BOO",BOT・BOO!$AJ42),0)</f>
        <v>0</v>
      </c>
      <c r="G29" s="212" cm="1">
        <f t="array" ref="G29">-IFERROR(_xlfn.IFS(F$2="DB",DB!$BC42,F$2="BT",BT!$BC42,F$2="DBO",DBO!$BC42,F$2="BTO",BTO!$BC42,F$2="BOT/BOO",BOT・BOO!$BC42),0)</f>
        <v>0</v>
      </c>
      <c r="H29" s="212" cm="1">
        <f t="array" ref="H29">-IFERROR(_xlfn.IFS(H$2="DB",DB!$AJ42,H$2="BT",BT!$AJ42,H$2="DBO",DBO!$AJ42,H$2="BTO",BTO!$AJ42,H$2="BOT/BOO",BOT・BOO!$AJ42),0)</f>
        <v>0</v>
      </c>
      <c r="I29" s="212" cm="1">
        <f t="array" ref="I29">-IFERROR(_xlfn.IFS(H$2="DB",DB!$BC42,H$2="BT",BT!$BC42,H$2="DBO",DBO!$BC42,H$2="BTO",BTO!$BC42,H$2="BOT/BOO",BOT・BOO!$BC42),0)</f>
        <v>0</v>
      </c>
      <c r="J29" s="212" cm="1">
        <f t="array" ref="J29">-IFERROR(_xlfn.IFS(J$2="DB",DB!$AJ42,J$2="BT",BT!$AJ42,J$2="DBO",DBO!$AJ42,J$2="BTO",BTO!$AJ42,J$2="BOT/BOO",BOT・BOO!$AJ42),0)</f>
        <v>0</v>
      </c>
      <c r="K29" s="212" cm="1">
        <f t="array" ref="K29">-IFERROR(_xlfn.IFS(J$2="DB",DB!$BC42,J$2="BT",BT!$BC42,J$2="DBO",DBO!$BC42,J$2="BTO",BTO!$BC42,J$2="BOT/BOO",BOT・BOO!$BC42),0)</f>
        <v>0</v>
      </c>
      <c r="L29" s="212" cm="1">
        <f t="array" ref="L29">-IFERROR(_xlfn.IFS(L$2="DB",DB!$AJ42,L$2="BT",BT!$AJ42,L$2="DBO",DBO!$AJ42,L$2="BTO",BTO!$AJ42,L$2="BOT/BOO",BOT・BOO!$AJ42),0)</f>
        <v>0</v>
      </c>
      <c r="M29" s="212" cm="1">
        <f t="array" ref="M29">-IFERROR(_xlfn.IFS(L$2="DB",DB!$BC42,L$2="BT",BT!$BC42,L$2="DBO",DBO!$BC42,L$2="BTO",BTO!$BC42,L$2="BOT/BOO",BOT・BOO!$BC42),0)</f>
        <v>0</v>
      </c>
    </row>
    <row r="30" spans="3:13">
      <c r="C30" s="27">
        <v>27</v>
      </c>
      <c r="D30" s="212" cm="1">
        <f t="array" ref="D30">-IFERROR(_xlfn.IFS(D$2="DB",DB!$AJ43,D$2="BT",BT!$AJ43,D$2="DBO",DBO!$AJ43,D$2="BTO",BTO!$AJ43,D$2="BOT/BOO",BOT・BOO!$AJ43),0)</f>
        <v>0</v>
      </c>
      <c r="E30" s="212" cm="1">
        <f t="array" ref="E30">-IFERROR(_xlfn.IFS(D$2="DB",DB!$BC43,D$2="BT",BT!$BC43,D$2="DBO",DBO!$BC43,D$2="BTO",BTO!$BC43,D$2="BOT/BOO",BOT・BOO!$BC43),0)</f>
        <v>0</v>
      </c>
      <c r="F30" s="212" cm="1">
        <f t="array" ref="F30">-IFERROR(_xlfn.IFS(F$2="DB",DB!$AJ43,F$2="BT",BT!$AJ43,F$2="DBO",DBO!$AJ43,F$2="BTO",BTO!$AJ43,F$2="BOT/BOO",BOT・BOO!$AJ43),0)</f>
        <v>0</v>
      </c>
      <c r="G30" s="212" cm="1">
        <f t="array" ref="G30">-IFERROR(_xlfn.IFS(F$2="DB",DB!$BC43,F$2="BT",BT!$BC43,F$2="DBO",DBO!$BC43,F$2="BTO",BTO!$BC43,F$2="BOT/BOO",BOT・BOO!$BC43),0)</f>
        <v>0</v>
      </c>
      <c r="H30" s="212" cm="1">
        <f t="array" ref="H30">-IFERROR(_xlfn.IFS(H$2="DB",DB!$AJ43,H$2="BT",BT!$AJ43,H$2="DBO",DBO!$AJ43,H$2="BTO",BTO!$AJ43,H$2="BOT/BOO",BOT・BOO!$AJ43),0)</f>
        <v>0</v>
      </c>
      <c r="I30" s="212" cm="1">
        <f t="array" ref="I30">-IFERROR(_xlfn.IFS(H$2="DB",DB!$BC43,H$2="BT",BT!$BC43,H$2="DBO",DBO!$BC43,H$2="BTO",BTO!$BC43,H$2="BOT/BOO",BOT・BOO!$BC43),0)</f>
        <v>0</v>
      </c>
      <c r="J30" s="212" cm="1">
        <f t="array" ref="J30">-IFERROR(_xlfn.IFS(J$2="DB",DB!$AJ43,J$2="BT",BT!$AJ43,J$2="DBO",DBO!$AJ43,J$2="BTO",BTO!$AJ43,J$2="BOT/BOO",BOT・BOO!$AJ43),0)</f>
        <v>0</v>
      </c>
      <c r="K30" s="212" cm="1">
        <f t="array" ref="K30">-IFERROR(_xlfn.IFS(J$2="DB",DB!$BC43,J$2="BT",BT!$BC43,J$2="DBO",DBO!$BC43,J$2="BTO",BTO!$BC43,J$2="BOT/BOO",BOT・BOO!$BC43),0)</f>
        <v>0</v>
      </c>
      <c r="L30" s="212" cm="1">
        <f t="array" ref="L30">-IFERROR(_xlfn.IFS(L$2="DB",DB!$AJ43,L$2="BT",BT!$AJ43,L$2="DBO",DBO!$AJ43,L$2="BTO",BTO!$AJ43,L$2="BOT/BOO",BOT・BOO!$AJ43),0)</f>
        <v>0</v>
      </c>
      <c r="M30" s="212" cm="1">
        <f t="array" ref="M30">-IFERROR(_xlfn.IFS(L$2="DB",DB!$BC43,L$2="BT",BT!$BC43,L$2="DBO",DBO!$BC43,L$2="BTO",BTO!$BC43,L$2="BOT/BOO",BOT・BOO!$BC43),0)</f>
        <v>0</v>
      </c>
    </row>
    <row r="31" spans="3:13">
      <c r="C31" s="27">
        <v>28</v>
      </c>
      <c r="D31" s="212" cm="1">
        <f t="array" ref="D31">-IFERROR(_xlfn.IFS(D$2="DB",DB!$AJ44,D$2="BT",BT!$AJ44,D$2="DBO",DBO!$AJ44,D$2="BTO",BTO!$AJ44,D$2="BOT/BOO",BOT・BOO!$AJ44),0)</f>
        <v>0</v>
      </c>
      <c r="E31" s="212" cm="1">
        <f t="array" ref="E31">-IFERROR(_xlfn.IFS(D$2="DB",DB!$BC44,D$2="BT",BT!$BC44,D$2="DBO",DBO!$BC44,D$2="BTO",BTO!$BC44,D$2="BOT/BOO",BOT・BOO!$BC44),0)</f>
        <v>0</v>
      </c>
      <c r="F31" s="212" cm="1">
        <f t="array" ref="F31">-IFERROR(_xlfn.IFS(F$2="DB",DB!$AJ44,F$2="BT",BT!$AJ44,F$2="DBO",DBO!$AJ44,F$2="BTO",BTO!$AJ44,F$2="BOT/BOO",BOT・BOO!$AJ44),0)</f>
        <v>0</v>
      </c>
      <c r="G31" s="212" cm="1">
        <f t="array" ref="G31">-IFERROR(_xlfn.IFS(F$2="DB",DB!$BC44,F$2="BT",BT!$BC44,F$2="DBO",DBO!$BC44,F$2="BTO",BTO!$BC44,F$2="BOT/BOO",BOT・BOO!$BC44),0)</f>
        <v>0</v>
      </c>
      <c r="H31" s="212" cm="1">
        <f t="array" ref="H31">-IFERROR(_xlfn.IFS(H$2="DB",DB!$AJ44,H$2="BT",BT!$AJ44,H$2="DBO",DBO!$AJ44,H$2="BTO",BTO!$AJ44,H$2="BOT/BOO",BOT・BOO!$AJ44),0)</f>
        <v>0</v>
      </c>
      <c r="I31" s="212" cm="1">
        <f t="array" ref="I31">-IFERROR(_xlfn.IFS(H$2="DB",DB!$BC44,H$2="BT",BT!$BC44,H$2="DBO",DBO!$BC44,H$2="BTO",BTO!$BC44,H$2="BOT/BOO",BOT・BOO!$BC44),0)</f>
        <v>0</v>
      </c>
      <c r="J31" s="212" cm="1">
        <f t="array" ref="J31">-IFERROR(_xlfn.IFS(J$2="DB",DB!$AJ44,J$2="BT",BT!$AJ44,J$2="DBO",DBO!$AJ44,J$2="BTO",BTO!$AJ44,J$2="BOT/BOO",BOT・BOO!$AJ44),0)</f>
        <v>0</v>
      </c>
      <c r="K31" s="212" cm="1">
        <f t="array" ref="K31">-IFERROR(_xlfn.IFS(J$2="DB",DB!$BC44,J$2="BT",BT!$BC44,J$2="DBO",DBO!$BC44,J$2="BTO",BTO!$BC44,J$2="BOT/BOO",BOT・BOO!$BC44),0)</f>
        <v>0</v>
      </c>
      <c r="L31" s="212" cm="1">
        <f t="array" ref="L31">-IFERROR(_xlfn.IFS(L$2="DB",DB!$AJ44,L$2="BT",BT!$AJ44,L$2="DBO",DBO!$AJ44,L$2="BTO",BTO!$AJ44,L$2="BOT/BOO",BOT・BOO!$AJ44),0)</f>
        <v>0</v>
      </c>
      <c r="M31" s="212" cm="1">
        <f t="array" ref="M31">-IFERROR(_xlfn.IFS(L$2="DB",DB!$BC44,L$2="BT",BT!$BC44,L$2="DBO",DBO!$BC44,L$2="BTO",BTO!$BC44,L$2="BOT/BOO",BOT・BOO!$BC44),0)</f>
        <v>0</v>
      </c>
    </row>
    <row r="32" spans="3:13">
      <c r="C32" s="27">
        <v>29</v>
      </c>
      <c r="D32" s="212" cm="1">
        <f t="array" ref="D32">-IFERROR(_xlfn.IFS(D$2="DB",DB!$AJ45,D$2="BT",BT!$AJ45,D$2="DBO",DBO!$AJ45,D$2="BTO",BTO!$AJ45,D$2="BOT/BOO",BOT・BOO!$AJ45),0)</f>
        <v>0</v>
      </c>
      <c r="E32" s="212" cm="1">
        <f t="array" ref="E32">-IFERROR(_xlfn.IFS(D$2="DB",DB!$BC45,D$2="BT",BT!$BC45,D$2="DBO",DBO!$BC45,D$2="BTO",BTO!$BC45,D$2="BOT/BOO",BOT・BOO!$BC45),0)</f>
        <v>0</v>
      </c>
      <c r="F32" s="212" cm="1">
        <f t="array" ref="F32">-IFERROR(_xlfn.IFS(F$2="DB",DB!$AJ45,F$2="BT",BT!$AJ45,F$2="DBO",DBO!$AJ45,F$2="BTO",BTO!$AJ45,F$2="BOT/BOO",BOT・BOO!$AJ45),0)</f>
        <v>0</v>
      </c>
      <c r="G32" s="212" cm="1">
        <f t="array" ref="G32">-IFERROR(_xlfn.IFS(F$2="DB",DB!$BC45,F$2="BT",BT!$BC45,F$2="DBO",DBO!$BC45,F$2="BTO",BTO!$BC45,F$2="BOT/BOO",BOT・BOO!$BC45),0)</f>
        <v>0</v>
      </c>
      <c r="H32" s="212" cm="1">
        <f t="array" ref="H32">-IFERROR(_xlfn.IFS(H$2="DB",DB!$AJ45,H$2="BT",BT!$AJ45,H$2="DBO",DBO!$AJ45,H$2="BTO",BTO!$AJ45,H$2="BOT/BOO",BOT・BOO!$AJ45),0)</f>
        <v>0</v>
      </c>
      <c r="I32" s="212" cm="1">
        <f t="array" ref="I32">-IFERROR(_xlfn.IFS(H$2="DB",DB!$BC45,H$2="BT",BT!$BC45,H$2="DBO",DBO!$BC45,H$2="BTO",BTO!$BC45,H$2="BOT/BOO",BOT・BOO!$BC45),0)</f>
        <v>0</v>
      </c>
      <c r="J32" s="212" cm="1">
        <f t="array" ref="J32">-IFERROR(_xlfn.IFS(J$2="DB",DB!$AJ45,J$2="BT",BT!$AJ45,J$2="DBO",DBO!$AJ45,J$2="BTO",BTO!$AJ45,J$2="BOT/BOO",BOT・BOO!$AJ45),0)</f>
        <v>0</v>
      </c>
      <c r="K32" s="212" cm="1">
        <f t="array" ref="K32">-IFERROR(_xlfn.IFS(J$2="DB",DB!$BC45,J$2="BT",BT!$BC45,J$2="DBO",DBO!$BC45,J$2="BTO",BTO!$BC45,J$2="BOT/BOO",BOT・BOO!$BC45),0)</f>
        <v>0</v>
      </c>
      <c r="L32" s="212" cm="1">
        <f t="array" ref="L32">-IFERROR(_xlfn.IFS(L$2="DB",DB!$AJ45,L$2="BT",BT!$AJ45,L$2="DBO",DBO!$AJ45,L$2="BTO",BTO!$AJ45,L$2="BOT/BOO",BOT・BOO!$AJ45),0)</f>
        <v>0</v>
      </c>
      <c r="M32" s="212" cm="1">
        <f t="array" ref="M32">-IFERROR(_xlfn.IFS(L$2="DB",DB!$BC45,L$2="BT",BT!$BC45,L$2="DBO",DBO!$BC45,L$2="BTO",BTO!$BC45,L$2="BOT/BOO",BOT・BOO!$BC45),0)</f>
        <v>0</v>
      </c>
    </row>
    <row r="33" spans="3:13">
      <c r="C33" s="27">
        <v>30</v>
      </c>
      <c r="D33" s="212" cm="1">
        <f t="array" ref="D33">-IFERROR(_xlfn.IFS(D$2="DB",DB!$AJ46,D$2="BT",BT!$AJ46,D$2="DBO",DBO!$AJ46,D$2="BTO",BTO!$AJ46,D$2="BOT/BOO",BOT・BOO!$AJ46),0)</f>
        <v>0</v>
      </c>
      <c r="E33" s="212" cm="1">
        <f t="array" ref="E33">-IFERROR(_xlfn.IFS(D$2="DB",DB!$BC46,D$2="BT",BT!$BC46,D$2="DBO",DBO!$BC46,D$2="BTO",BTO!$BC46,D$2="BOT/BOO",BOT・BOO!$BC46),0)</f>
        <v>0</v>
      </c>
      <c r="F33" s="212" cm="1">
        <f t="array" ref="F33">-IFERROR(_xlfn.IFS(F$2="DB",DB!$AJ46,F$2="BT",BT!$AJ46,F$2="DBO",DBO!$AJ46,F$2="BTO",BTO!$AJ46,F$2="BOT/BOO",BOT・BOO!$AJ46),0)</f>
        <v>0</v>
      </c>
      <c r="G33" s="212" cm="1">
        <f t="array" ref="G33">-IFERROR(_xlfn.IFS(F$2="DB",DB!$BC46,F$2="BT",BT!$BC46,F$2="DBO",DBO!$BC46,F$2="BTO",BTO!$BC46,F$2="BOT/BOO",BOT・BOO!$BC46),0)</f>
        <v>0</v>
      </c>
      <c r="H33" s="212" cm="1">
        <f t="array" ref="H33">-IFERROR(_xlfn.IFS(H$2="DB",DB!$AJ46,H$2="BT",BT!$AJ46,H$2="DBO",DBO!$AJ46,H$2="BTO",BTO!$AJ46,H$2="BOT/BOO",BOT・BOO!$AJ46),0)</f>
        <v>0</v>
      </c>
      <c r="I33" s="212" cm="1">
        <f t="array" ref="I33">-IFERROR(_xlfn.IFS(H$2="DB",DB!$BC46,H$2="BT",BT!$BC46,H$2="DBO",DBO!$BC46,H$2="BTO",BTO!$BC46,H$2="BOT/BOO",BOT・BOO!$BC46),0)</f>
        <v>0</v>
      </c>
      <c r="J33" s="212" cm="1">
        <f t="array" ref="J33">-IFERROR(_xlfn.IFS(J$2="DB",DB!$AJ46,J$2="BT",BT!$AJ46,J$2="DBO",DBO!$AJ46,J$2="BTO",BTO!$AJ46,J$2="BOT/BOO",BOT・BOO!$AJ46),0)</f>
        <v>0</v>
      </c>
      <c r="K33" s="212" cm="1">
        <f t="array" ref="K33">-IFERROR(_xlfn.IFS(J$2="DB",DB!$BC46,J$2="BT",BT!$BC46,J$2="DBO",DBO!$BC46,J$2="BTO",BTO!$BC46,J$2="BOT/BOO",BOT・BOO!$BC46),0)</f>
        <v>0</v>
      </c>
      <c r="L33" s="212" cm="1">
        <f t="array" ref="L33">-IFERROR(_xlfn.IFS(L$2="DB",DB!$AJ46,L$2="BT",BT!$AJ46,L$2="DBO",DBO!$AJ46,L$2="BTO",BTO!$AJ46,L$2="BOT/BOO",BOT・BOO!$AJ46),0)</f>
        <v>0</v>
      </c>
      <c r="M33" s="212" cm="1">
        <f t="array" ref="M33">-IFERROR(_xlfn.IFS(L$2="DB",DB!$BC46,L$2="BT",BT!$BC46,L$2="DBO",DBO!$BC46,L$2="BTO",BTO!$BC46,L$2="BOT/BOO",BOT・BOO!$BC46),0)</f>
        <v>0</v>
      </c>
    </row>
    <row r="34" spans="3:13">
      <c r="D34" s="212"/>
      <c r="E34" s="212"/>
      <c r="F34" s="212"/>
      <c r="G34" s="212"/>
      <c r="H34" s="212"/>
      <c r="I34" s="212"/>
      <c r="J34" s="212"/>
      <c r="K34" s="212"/>
      <c r="L34" s="212"/>
      <c r="M34" s="212"/>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9</vt:i4>
      </vt:variant>
      <vt:variant>
        <vt:lpstr>名前付き一覧</vt:lpstr>
      </vt:variant>
      <vt:variant>
        <vt:i4>5</vt:i4>
      </vt:variant>
    </vt:vector>
  </HeadingPairs>
  <TitlesOfParts>
    <vt:vector size="14" baseType="lpstr">
      <vt:lpstr>Disclaimer</vt:lpstr>
      <vt:lpstr>事業費用概算</vt:lpstr>
      <vt:lpstr>DB</vt:lpstr>
      <vt:lpstr>BT</vt:lpstr>
      <vt:lpstr>DBO</vt:lpstr>
      <vt:lpstr>BTO</vt:lpstr>
      <vt:lpstr>BOT・BOO</vt:lpstr>
      <vt:lpstr>説明用アウトプットシート</vt:lpstr>
      <vt:lpstr>【編集不可】リスト</vt:lpstr>
      <vt:lpstr>BOT・BOO!Print_Area</vt:lpstr>
      <vt:lpstr>BT!Print_Area</vt:lpstr>
      <vt:lpstr>BTO!Print_Area</vt:lpstr>
      <vt:lpstr>DB!Print_Area</vt:lpstr>
      <vt:lpstr>DBO!Print_Area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2024-03-12T07:05:12Z</dcterms:created>
  <dcterms:modified xsi:type="dcterms:W3CDTF">2024-05-15T13:16:26Z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2024-03-12T07:05:52Z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d9b3a079-126a-4b6f-90c9-06c2d6d262c4</vt:lpwstr>
  </property>
  <property fmtid="{D5CDD505-2E9C-101B-9397-08002B2CF9AE}" pid="8" name="MSIP_Label_ea60d57e-af5b-4752-ac57-3e4f28ca11dc_ContentBits">
    <vt:lpwstr>0</vt:lpwstr>
  </property>
</Properties>
</file>