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5" autoFilterDateGrouping="1"/>
  </bookViews>
  <sheets>
    <sheet xmlns:r="http://schemas.openxmlformats.org/officeDocument/2006/relationships" name="Disclaimer" sheetId="1" state="visible" r:id="rId1"/>
    <sheet xmlns:r="http://schemas.openxmlformats.org/officeDocument/2006/relationships" name="事業費用概算" sheetId="2" state="visible" r:id="rId2"/>
    <sheet xmlns:r="http://schemas.openxmlformats.org/officeDocument/2006/relationships" name="DB" sheetId="3" state="visible" r:id="rId3"/>
    <sheet xmlns:r="http://schemas.openxmlformats.org/officeDocument/2006/relationships" name="BT" sheetId="4" state="visible" r:id="rId4"/>
    <sheet xmlns:r="http://schemas.openxmlformats.org/officeDocument/2006/relationships" name="DBO" sheetId="5" state="visible" r:id="rId5"/>
    <sheet xmlns:r="http://schemas.openxmlformats.org/officeDocument/2006/relationships" name="BTO" sheetId="6" state="visible" r:id="rId6"/>
    <sheet xmlns:r="http://schemas.openxmlformats.org/officeDocument/2006/relationships" name="BOT・BOO" sheetId="7" state="visible" r:id="rId7"/>
    <sheet xmlns:r="http://schemas.openxmlformats.org/officeDocument/2006/relationships" name="説明用アウトプットシート" sheetId="8" state="visible" r:id="rId8"/>
    <sheet xmlns:r="http://schemas.openxmlformats.org/officeDocument/2006/relationships" name="【編集不可】リスト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13">
    <numFmt numFmtId="164" formatCode="#,##0_);[Red]\(#,##0\);\-_)"/>
    <numFmt numFmtId="165" formatCode="0.0%"/>
    <numFmt numFmtId="166" formatCode="#,##0.0_);[Red]\(#,##0.0\);\-_)"/>
    <numFmt numFmtId="167" formatCode="#,##0.0;[Red]\-#,##0.0"/>
    <numFmt numFmtId="168" formatCode="#,##0.0"/>
    <numFmt numFmtId="169" formatCode="0.000%"/>
    <numFmt numFmtId="170" formatCode="[Magenta]&quot;Warning&quot;;[Magenta]&quot;Warning&quot;;[Blue]&quot;OK&quot;"/>
    <numFmt numFmtId="171" formatCode="0.000000"/>
    <numFmt numFmtId="172" formatCode="#,##0.00_);[Red]\(#,##0.00\);\-_)"/>
    <numFmt numFmtId="173" formatCode="0.0000"/>
    <numFmt numFmtId="174" formatCode="#,##0.0;&quot;▲ &quot;#,##0.0"/>
    <numFmt numFmtId="175" formatCode="0.0;&quot;▲ &quot;0.0"/>
    <numFmt numFmtId="176" formatCode="#,##0;&quot;▲ &quot;#,##0"/>
  </numFmts>
  <fonts count="3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Arial"/>
      <family val="2"/>
      <color rgb="FF0000FF"/>
      <sz val="10"/>
    </font>
    <font>
      <name val="Arial"/>
      <family val="2"/>
      <color indexed="12"/>
      <sz val="10"/>
    </font>
    <font>
      <name val="游ゴシック"/>
      <charset val="128"/>
      <family val="3"/>
      <b val="1"/>
      <color theme="1"/>
      <sz val="11"/>
      <scheme val="minor"/>
    </font>
    <font>
      <name val="游ゴシック"/>
      <charset val="128"/>
      <family val="3"/>
      <color theme="1"/>
      <sz val="11"/>
      <scheme val="minor"/>
    </font>
    <font>
      <name val="Arial"/>
      <family val="2"/>
      <color theme="1"/>
      <sz val="10"/>
    </font>
    <font>
      <name val="游ゴシック"/>
      <charset val="128"/>
      <family val="3"/>
      <b val="1"/>
      <color theme="0"/>
      <sz val="11"/>
      <scheme val="minor"/>
    </font>
    <font>
      <name val="Calibri"/>
      <family val="2"/>
      <color theme="1"/>
      <sz val="9"/>
    </font>
    <font>
      <name val="ＭＳ Ｐゴシック"/>
      <charset val="128"/>
      <family val="2"/>
      <color theme="1"/>
      <sz val="9"/>
    </font>
    <font>
      <name val="游ゴシック"/>
      <charset val="128"/>
      <family val="2"/>
      <color rgb="FFFF0000"/>
      <sz val="11"/>
      <scheme val="minor"/>
    </font>
    <font>
      <name val="Arial"/>
      <family val="2"/>
      <b val="1"/>
      <color indexed="12"/>
      <sz val="8"/>
    </font>
    <font>
      <name val="游ゴシック"/>
      <charset val="128"/>
      <family val="3"/>
      <color theme="1"/>
      <sz val="12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3"/>
      <b val="1"/>
      <color theme="0"/>
      <sz val="12"/>
      <scheme val="minor"/>
    </font>
    <font>
      <name val="游ゴシック"/>
      <charset val="128"/>
      <family val="3"/>
      <b val="1"/>
      <color theme="1"/>
      <sz val="20"/>
      <scheme val="minor"/>
    </font>
    <font>
      <name val="游ゴシック"/>
      <charset val="128"/>
      <family val="3"/>
      <b val="1"/>
      <color theme="0"/>
      <sz val="20"/>
      <scheme val="minor"/>
    </font>
    <font>
      <name val="Arial"/>
      <family val="2"/>
      <b val="1"/>
      <color rgb="FF0070C0"/>
      <sz val="8"/>
    </font>
    <font>
      <name val="游ゴシック"/>
      <charset val="128"/>
      <family val="2"/>
      <b val="1"/>
      <color rgb="FF0070C0"/>
      <sz val="11"/>
      <scheme val="minor"/>
    </font>
    <font>
      <name val="游ゴシック"/>
      <charset val="128"/>
      <family val="2"/>
      <b val="1"/>
      <color rgb="FF3333FF"/>
      <sz val="11"/>
      <scheme val="minor"/>
    </font>
    <font>
      <name val="游ゴシック"/>
      <charset val="128"/>
      <family val="3"/>
      <b val="1"/>
      <color rgb="FFFF0000"/>
      <sz val="11"/>
      <scheme val="minor"/>
    </font>
    <font>
      <name val="游ゴシック"/>
      <charset val="128"/>
      <family val="3"/>
      <color rgb="FFFF0000"/>
      <sz val="11"/>
      <scheme val="minor"/>
    </font>
    <font>
      <name val="游ゴシック"/>
      <charset val="128"/>
      <family val="2"/>
      <color theme="1"/>
      <sz val="10"/>
      <scheme val="minor"/>
    </font>
    <font>
      <name val="游ゴシック"/>
      <charset val="128"/>
      <family val="3"/>
      <b val="1"/>
      <color theme="1"/>
      <sz val="10"/>
      <scheme val="minor"/>
    </font>
    <font>
      <name val="游ゴシック"/>
      <charset val="128"/>
      <family val="3"/>
      <color theme="1"/>
      <sz val="10"/>
      <scheme val="minor"/>
    </font>
    <font>
      <name val="游ゴシック"/>
      <charset val="128"/>
      <family val="3"/>
      <color rgb="FFFF0000"/>
      <sz val="10"/>
      <scheme val="minor"/>
    </font>
    <font>
      <name val="Arial"/>
      <family val="2"/>
      <sz val="10"/>
    </font>
    <font>
      <name val="游ゴシック"/>
      <charset val="128"/>
      <family val="3"/>
      <color rgb="FFFF0000"/>
      <sz val="12"/>
      <scheme val="minor"/>
    </font>
    <font>
      <name val="游ゴシック"/>
      <charset val="128"/>
      <family val="3"/>
      <color rgb="FF0000FF"/>
      <sz val="12"/>
      <scheme val="minor"/>
    </font>
    <font>
      <name val="游ゴシック"/>
      <charset val="128"/>
      <family val="3"/>
      <sz val="12"/>
      <scheme val="minor"/>
    </font>
    <font>
      <name val="游ゴシック"/>
      <charset val="128"/>
      <family val="2"/>
      <b val="1"/>
      <color theme="3"/>
      <sz val="15"/>
      <scheme val="minor"/>
    </font>
    <font>
      <name val="Calibri Light"/>
      <family val="2"/>
      <b val="1"/>
      <color theme="0"/>
      <sz val="12"/>
    </font>
    <font>
      <name val="Calibri Light"/>
      <family val="2"/>
      <b val="1"/>
      <i val="1"/>
      <color theme="0"/>
      <sz val="8"/>
    </font>
    <font>
      <name val="游ゴシック"/>
      <charset val="128"/>
      <family val="3"/>
      <b val="1"/>
      <color rgb="FFFF0000"/>
      <sz val="10"/>
      <scheme val="minor"/>
    </font>
    <font>
      <name val="游ゴシック"/>
      <charset val="128"/>
      <family val="2"/>
      <sz val="11"/>
      <scheme val="minor"/>
    </font>
    <font>
      <name val="游ゴシック"/>
      <charset val="128"/>
      <family val="3"/>
      <sz val="11"/>
      <scheme val="minor"/>
    </font>
  </fonts>
  <fills count="14">
    <fill>
      <patternFill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43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"/>
        <bgColor indexed="64"/>
      </patternFill>
    </fill>
  </fills>
  <borders count="49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/>
      <right/>
      <top style="hair">
        <color auto="1"/>
      </top>
      <bottom style="hair">
        <color auto="1"/>
      </bottom>
      <diagonal style="hair">
        <color auto="1"/>
      </diagonal>
    </border>
    <border diagonalUp="1">
      <left style="hair">
        <color auto="1"/>
      </left>
      <right/>
      <top style="hair">
        <color auto="1"/>
      </top>
      <bottom style="hair">
        <color auto="1"/>
      </bottom>
      <diagonal style="hair">
        <color auto="1"/>
      </diagonal>
    </border>
    <border diagonalUp="1">
      <left/>
      <right style="hair">
        <color auto="1"/>
      </right>
      <top style="hair">
        <color auto="1"/>
      </top>
      <bottom style="hair">
        <color auto="1"/>
      </bottom>
      <diagonal style="hair">
        <color auto="1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 diagonalUp="1"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/>
      <diagonal style="hair">
        <color indexed="64"/>
      </diagonal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/>
      <top style="double">
        <color auto="1"/>
      </top>
      <bottom/>
      <diagonal/>
    </border>
    <border diagonalUp="1"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 style="hair">
        <color indexed="64"/>
      </diagonal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double">
        <color auto="1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1" fillId="0" borderId="0" applyAlignment="1">
      <alignment vertical="center"/>
    </xf>
    <xf numFmtId="9" fontId="1" fillId="0" borderId="0" applyAlignment="1">
      <alignment vertical="center"/>
    </xf>
    <xf numFmtId="164" fontId="4" fillId="3" borderId="2" applyProtection="1">
      <protection locked="0" hidden="0"/>
    </xf>
    <xf numFmtId="38" fontId="1" fillId="0" borderId="0" applyAlignment="1">
      <alignment vertical="center"/>
    </xf>
    <xf numFmtId="170" fontId="12" fillId="0" borderId="0"/>
    <xf numFmtId="0" fontId="31" fillId="0" borderId="47" applyAlignment="1">
      <alignment vertical="center"/>
    </xf>
  </cellStyleXfs>
  <cellXfs count="439">
    <xf numFmtId="0" fontId="0" fillId="0" borderId="0" applyAlignment="1" pivotButton="0" quotePrefix="0" xfId="0">
      <alignment vertical="center"/>
    </xf>
    <xf numFmtId="164" fontId="3" fillId="3" borderId="2" applyProtection="1" pivotButton="0" quotePrefix="0" xfId="2">
      <protection locked="0" hidden="0"/>
    </xf>
    <xf numFmtId="0" fontId="0" fillId="0" borderId="0" applyAlignment="1" pivotButton="0" quotePrefix="0" xfId="0">
      <alignment horizontal="right" vertical="center"/>
    </xf>
    <xf numFmtId="9" fontId="3" fillId="2" borderId="2" pivotButton="0" quotePrefix="0" xfId="1"/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5" fillId="0" borderId="3" applyAlignment="1" pivotButton="0" quotePrefix="0" xfId="0">
      <alignment vertical="center"/>
    </xf>
    <xf numFmtId="0" fontId="5" fillId="0" borderId="4" applyAlignment="1" pivotButton="0" quotePrefix="0" xfId="0">
      <alignment vertical="center"/>
    </xf>
    <xf numFmtId="0" fontId="5" fillId="7" borderId="0" applyAlignment="1" pivotButton="0" quotePrefix="0" xfId="0">
      <alignment horizontal="center" vertical="center"/>
    </xf>
    <xf numFmtId="0" fontId="5" fillId="7" borderId="5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5" fillId="5" borderId="13" applyAlignment="1" pivotButton="0" quotePrefix="0" xfId="0">
      <alignment horizontal="center" vertical="center"/>
    </xf>
    <xf numFmtId="9" fontId="0" fillId="0" borderId="0" applyAlignment="1" pivotButton="0" quotePrefix="0" xfId="0">
      <alignment vertical="center"/>
    </xf>
    <xf numFmtId="165" fontId="3" fillId="2" borderId="2" pivotButton="0" quotePrefix="0" xfId="1"/>
    <xf numFmtId="10" fontId="3" fillId="2" borderId="2" pivotButton="0" quotePrefix="0" xfId="1"/>
    <xf numFmtId="165" fontId="3" fillId="2" borderId="1" pivotButton="0" quotePrefix="0" xfId="1"/>
    <xf numFmtId="10" fontId="3" fillId="2" borderId="14" pivotButton="0" quotePrefix="0" xfId="1"/>
    <xf numFmtId="165" fontId="3" fillId="2" borderId="15" pivotButton="0" quotePrefix="0" xfId="1"/>
    <xf numFmtId="0" fontId="0" fillId="0" borderId="0" applyAlignment="1" pivotButton="0" quotePrefix="0" xfId="0">
      <alignment horizontal="center" vertical="center"/>
    </xf>
    <xf numFmtId="164" fontId="0" fillId="0" borderId="2" applyAlignment="1" pivotButton="0" quotePrefix="0" xfId="0">
      <alignment vertical="center"/>
    </xf>
    <xf numFmtId="166" fontId="0" fillId="0" borderId="2" applyAlignment="1" pivotButton="0" quotePrefix="0" xfId="0">
      <alignment vertical="center"/>
    </xf>
    <xf numFmtId="0" fontId="5" fillId="8" borderId="0" applyAlignment="1" pivotButton="0" quotePrefix="0" xfId="0">
      <alignment vertical="center"/>
    </xf>
    <xf numFmtId="0" fontId="5" fillId="8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8" fillId="10" borderId="0" applyAlignment="1" pivotButton="0" quotePrefix="0" xfId="0">
      <alignment vertical="center"/>
    </xf>
    <xf numFmtId="0" fontId="5" fillId="0" borderId="4" applyAlignment="1" pivotButton="0" quotePrefix="0" xfId="0">
      <alignment horizontal="right"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4" fontId="3" fillId="3" borderId="2" applyAlignment="1" applyProtection="1" pivotButton="0" quotePrefix="0" xfId="2">
      <alignment horizontal="right"/>
      <protection locked="0" hidden="0"/>
    </xf>
    <xf numFmtId="167" fontId="5" fillId="8" borderId="0" applyAlignment="1" pivotButton="0" quotePrefix="0" xfId="3">
      <alignment horizontal="center" vertical="center"/>
    </xf>
    <xf numFmtId="167" fontId="0" fillId="0" borderId="0" applyAlignment="1" pivotButton="0" quotePrefix="0" xfId="3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7" fontId="5" fillId="4" borderId="21" applyAlignment="1" pivotButton="0" quotePrefix="0" xfId="3">
      <alignment horizontal="center" vertical="center" wrapText="1"/>
    </xf>
    <xf numFmtId="0" fontId="5" fillId="6" borderId="22" applyAlignment="1" pivotButton="0" quotePrefix="0" xfId="0">
      <alignment horizontal="center" vertical="center" wrapText="1"/>
    </xf>
    <xf numFmtId="10" fontId="0" fillId="0" borderId="2" applyAlignment="1" pivotButton="0" quotePrefix="0" xfId="0">
      <alignment vertical="center"/>
    </xf>
    <xf numFmtId="0" fontId="5" fillId="7" borderId="3" applyAlignment="1" pivotButton="0" quotePrefix="0" xfId="0">
      <alignment horizontal="center" vertical="center" wrapText="1"/>
    </xf>
    <xf numFmtId="0" fontId="5" fillId="7" borderId="23" applyAlignment="1" pivotButton="0" quotePrefix="0" xfId="0">
      <alignment horizontal="center" vertical="center" wrapText="1"/>
    </xf>
    <xf numFmtId="0" fontId="5" fillId="4" borderId="16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4" borderId="23" applyAlignment="1" pivotButton="0" quotePrefix="0" xfId="0">
      <alignment horizontal="center" vertical="center" wrapText="1"/>
    </xf>
    <xf numFmtId="167" fontId="5" fillId="4" borderId="23" applyAlignment="1" pivotButton="0" quotePrefix="0" xfId="3">
      <alignment horizontal="center" vertical="center" wrapText="1"/>
    </xf>
    <xf numFmtId="0" fontId="5" fillId="6" borderId="23" applyAlignment="1" pivotButton="0" quotePrefix="0" xfId="0">
      <alignment horizontal="center" vertical="center" wrapText="1"/>
    </xf>
    <xf numFmtId="0" fontId="5" fillId="7" borderId="22" applyAlignment="1" pivotButton="0" quotePrefix="0" xfId="0">
      <alignment horizontal="center" vertical="center" wrapText="1"/>
    </xf>
    <xf numFmtId="0" fontId="5" fillId="7" borderId="16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168" fontId="0" fillId="0" borderId="0" applyAlignment="1" pivotButton="0" quotePrefix="0" xfId="3">
      <alignment horizontal="center" vertical="center"/>
    </xf>
    <xf numFmtId="168" fontId="0" fillId="0" borderId="0" applyAlignment="1" pivotButton="0" quotePrefix="0" xfId="3">
      <alignment horizontal="center" vertical="center"/>
    </xf>
    <xf numFmtId="0" fontId="5" fillId="5" borderId="10" applyAlignment="1" pivotButton="0" quotePrefix="0" xfId="0">
      <alignment horizontal="center" vertical="center"/>
    </xf>
    <xf numFmtId="167" fontId="0" fillId="0" borderId="2" applyAlignment="1" pivotButton="0" quotePrefix="0" xfId="3">
      <alignment vertical="center"/>
    </xf>
    <xf numFmtId="166" fontId="7" fillId="0" borderId="2" applyProtection="1" pivotButton="0" quotePrefix="0" xfId="2">
      <protection locked="0" hidden="0"/>
    </xf>
    <xf numFmtId="164" fontId="7" fillId="0" borderId="14" applyProtection="1" pivotButton="0" quotePrefix="0" xfId="2">
      <protection locked="0" hidden="0"/>
    </xf>
    <xf numFmtId="169" fontId="3" fillId="2" borderId="2" pivotButton="0" quotePrefix="0" xfId="1"/>
    <xf numFmtId="0" fontId="5" fillId="5" borderId="10" applyAlignment="1" pivotButton="0" quotePrefix="0" xfId="0">
      <alignment horizontal="left" vertical="center" indent="18"/>
    </xf>
    <xf numFmtId="0" fontId="0" fillId="0" borderId="0" applyAlignment="1" pivotButton="0" quotePrefix="0" xfId="0">
      <alignment horizontal="left" vertical="center"/>
    </xf>
    <xf numFmtId="165" fontId="0" fillId="0" borderId="9" applyAlignment="1" pivotButton="0" quotePrefix="0" xfId="1">
      <alignment horizontal="center" vertical="center"/>
    </xf>
    <xf numFmtId="14" fontId="0" fillId="0" borderId="0" applyAlignment="1" pivotButton="0" quotePrefix="0" xfId="0">
      <alignment vertical="center"/>
    </xf>
    <xf numFmtId="0" fontId="5" fillId="4" borderId="19" applyAlignment="1" pivotButton="0" quotePrefix="0" xfId="0">
      <alignment horizontal="centerContinuous" vertical="center" wrapText="1"/>
    </xf>
    <xf numFmtId="0" fontId="5" fillId="4" borderId="20" applyAlignment="1" pivotButton="0" quotePrefix="0" xfId="0">
      <alignment horizontal="centerContinuous" vertical="center" wrapText="1"/>
    </xf>
    <xf numFmtId="0" fontId="5" fillId="4" borderId="21" applyAlignment="1" pivotButton="0" quotePrefix="0" xfId="0">
      <alignment horizontal="centerContinuous" vertical="center" wrapText="1"/>
    </xf>
    <xf numFmtId="0" fontId="5" fillId="6" borderId="20" applyAlignment="1" pivotButton="0" quotePrefix="0" xfId="0">
      <alignment horizontal="centerContinuous" vertical="center" wrapText="1"/>
    </xf>
    <xf numFmtId="0" fontId="5" fillId="6" borderId="19" applyAlignment="1" pivotButton="0" quotePrefix="0" xfId="0">
      <alignment horizontal="centerContinuous" vertical="center" wrapText="1"/>
    </xf>
    <xf numFmtId="0" fontId="5" fillId="6" borderId="21" applyAlignment="1" pivotButton="0" quotePrefix="0" xfId="0">
      <alignment horizontal="centerContinuous" vertical="center" wrapText="1"/>
    </xf>
    <xf numFmtId="0" fontId="5" fillId="7" borderId="19" applyAlignment="1" pivotButton="0" quotePrefix="0" xfId="0">
      <alignment horizontal="centerContinuous" vertical="center" wrapText="1"/>
    </xf>
    <xf numFmtId="0" fontId="5" fillId="7" borderId="20" applyAlignment="1" pivotButton="0" quotePrefix="0" xfId="0">
      <alignment horizontal="centerContinuous" vertical="center" wrapText="1"/>
    </xf>
    <xf numFmtId="0" fontId="5" fillId="7" borderId="21" applyAlignment="1" pivotButton="0" quotePrefix="0" xfId="0">
      <alignment horizontal="centerContinuous" vertical="center" wrapText="1"/>
    </xf>
    <xf numFmtId="14" fontId="3" fillId="3" borderId="2" applyProtection="1" pivotButton="0" quotePrefix="0" xfId="2">
      <protection locked="0" hidden="0"/>
    </xf>
    <xf numFmtId="167" fontId="0" fillId="0" borderId="2" applyAlignment="1" pivotButton="0" quotePrefix="0" xfId="0">
      <alignment vertical="center"/>
    </xf>
    <xf numFmtId="169" fontId="0" fillId="0" borderId="2" applyAlignment="1" pivotButton="0" quotePrefix="0" xfId="0">
      <alignment vertical="center"/>
    </xf>
    <xf numFmtId="169" fontId="0" fillId="0" borderId="2" applyAlignment="1" pivotButton="0" quotePrefix="0" xfId="1">
      <alignment vertical="center"/>
    </xf>
    <xf numFmtId="0" fontId="11" fillId="0" borderId="0" applyAlignment="1" pivotButton="0" quotePrefix="0" xfId="0">
      <alignment vertical="center"/>
    </xf>
    <xf numFmtId="164" fontId="3" fillId="0" borderId="2" applyProtection="1" pivotButton="0" quotePrefix="0" xfId="2">
      <protection locked="0" hidden="0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5" fillId="11" borderId="0" applyAlignment="1" pivotButton="0" quotePrefix="0" xfId="0">
      <alignment vertical="center"/>
    </xf>
    <xf numFmtId="0" fontId="13" fillId="0" borderId="0" applyAlignment="1" pivotButton="0" quotePrefix="0" xfId="0">
      <alignment horizontal="right" vertical="center"/>
    </xf>
    <xf numFmtId="167" fontId="13" fillId="0" borderId="2" applyAlignment="1" pivotButton="0" quotePrefix="0" xfId="3">
      <alignment horizontal="right" vertical="center"/>
    </xf>
    <xf numFmtId="165" fontId="13" fillId="0" borderId="2" applyAlignment="1" pivotButton="0" quotePrefix="0" xfId="1">
      <alignment vertical="center"/>
    </xf>
    <xf numFmtId="169" fontId="13" fillId="0" borderId="18" applyAlignment="1" pivotButton="0" quotePrefix="0" xfId="1">
      <alignment horizontal="centerContinuous" vertical="center"/>
    </xf>
    <xf numFmtId="169" fontId="13" fillId="0" borderId="24" applyAlignment="1" pivotButton="0" quotePrefix="0" xfId="1">
      <alignment horizontal="centerContinuous" vertical="center"/>
    </xf>
    <xf numFmtId="10" fontId="13" fillId="0" borderId="2" applyAlignment="1" pivotButton="0" quotePrefix="0" xfId="1">
      <alignment horizontal="right" vertical="center"/>
    </xf>
    <xf numFmtId="0" fontId="5" fillId="4" borderId="1" applyAlignment="1" pivotButton="0" quotePrefix="0" xfId="0">
      <alignment horizontal="center" vertical="center" wrapText="1"/>
    </xf>
    <xf numFmtId="0" fontId="5" fillId="7" borderId="29" applyAlignment="1" pivotButton="0" quotePrefix="0" xfId="0">
      <alignment horizontal="center" vertical="center" wrapText="1"/>
    </xf>
    <xf numFmtId="0" fontId="5" fillId="9" borderId="0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 wrapText="1"/>
    </xf>
    <xf numFmtId="0" fontId="5" fillId="6" borderId="3" applyAlignment="1" pivotButton="0" quotePrefix="0" xfId="0">
      <alignment horizontal="center" vertical="center" wrapText="1"/>
    </xf>
    <xf numFmtId="0" fontId="6" fillId="6" borderId="23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/>
    </xf>
    <xf numFmtId="0" fontId="17" fillId="11" borderId="0" applyAlignment="1" pivotButton="0" quotePrefix="0" xfId="0">
      <alignment vertical="center"/>
    </xf>
    <xf numFmtId="0" fontId="5" fillId="7" borderId="28" applyAlignment="1" pivotButton="0" quotePrefix="0" xfId="0">
      <alignment horizontal="center" vertical="center" wrapText="1"/>
    </xf>
    <xf numFmtId="0" fontId="5" fillId="7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/>
    </xf>
    <xf numFmtId="167" fontId="6" fillId="0" borderId="0" applyAlignment="1" pivotButton="0" quotePrefix="0" xfId="3">
      <alignment horizontal="left" vertical="center"/>
    </xf>
    <xf numFmtId="0" fontId="5" fillId="4" borderId="29" applyAlignment="1" pivotButton="0" quotePrefix="0" xfId="0">
      <alignment horizontal="center" vertical="center" wrapText="1"/>
    </xf>
    <xf numFmtId="167" fontId="0" fillId="4" borderId="16" applyAlignment="1" pivotButton="0" quotePrefix="0" xfId="3">
      <alignment horizontal="center" vertical="center" wrapText="1"/>
    </xf>
    <xf numFmtId="170" fontId="18" fillId="0" borderId="0" pivotButton="0" quotePrefix="0" xfId="4"/>
    <xf numFmtId="0" fontId="19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  <xf numFmtId="0" fontId="5" fillId="4" borderId="2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/>
    </xf>
    <xf numFmtId="167" fontId="5" fillId="4" borderId="17" applyAlignment="1" pivotButton="0" quotePrefix="0" xfId="3">
      <alignment horizontal="center" vertical="center" wrapText="1"/>
    </xf>
    <xf numFmtId="171" fontId="0" fillId="0" borderId="26" applyAlignment="1" pivotButton="0" quotePrefix="0" xfId="0">
      <alignment horizontal="center" vertical="center"/>
    </xf>
    <xf numFmtId="167" fontId="5" fillId="4" borderId="28" applyAlignment="1" pivotButton="0" quotePrefix="0" xfId="3">
      <alignment horizontal="center" vertical="center" wrapText="1"/>
    </xf>
    <xf numFmtId="10" fontId="3" fillId="2" borderId="1" pivotButton="0" quotePrefix="0" xfId="1"/>
    <xf numFmtId="167" fontId="5" fillId="4" borderId="1" applyAlignment="1" pivotButton="0" quotePrefix="0" xfId="3">
      <alignment horizontal="center" vertical="center" wrapText="1"/>
    </xf>
    <xf numFmtId="10" fontId="0" fillId="0" borderId="2" applyAlignment="1" pivotButton="0" quotePrefix="0" xfId="0">
      <alignment horizontal="right" vertical="center"/>
    </xf>
    <xf numFmtId="172" fontId="3" fillId="3" borderId="2" applyProtection="1" pivotButton="0" quotePrefix="0" xfId="2">
      <protection locked="0" hidden="0"/>
    </xf>
    <xf numFmtId="165" fontId="3" fillId="3" borderId="2" applyProtection="1" pivotButton="0" quotePrefix="0" xfId="1">
      <protection locked="0" hidden="0"/>
    </xf>
    <xf numFmtId="38" fontId="0" fillId="0" borderId="0" applyAlignment="1" pivotButton="0" quotePrefix="0" xfId="3">
      <alignment vertical="center"/>
    </xf>
    <xf numFmtId="0" fontId="21" fillId="0" borderId="0" applyAlignment="1" pivotButton="0" quotePrefix="0" xfId="0">
      <alignment vertical="center"/>
    </xf>
    <xf numFmtId="10" fontId="0" fillId="0" borderId="2" applyAlignment="1" pivotButton="0" quotePrefix="0" xfId="1">
      <alignment vertical="center"/>
    </xf>
    <xf numFmtId="0" fontId="0" fillId="0" borderId="2" applyAlignment="1" pivotButton="0" quotePrefix="0" xfId="0">
      <alignment vertical="center"/>
    </xf>
    <xf numFmtId="173" fontId="0" fillId="0" borderId="2" applyAlignment="1" pivotButton="0" quotePrefix="0" xfId="0">
      <alignment horizontal="right" vertical="center"/>
    </xf>
    <xf numFmtId="38" fontId="0" fillId="0" borderId="2" applyAlignment="1" pivotButton="0" quotePrefix="0" xfId="0">
      <alignment vertical="center"/>
    </xf>
    <xf numFmtId="172" fontId="7" fillId="0" borderId="2" applyProtection="1" pivotButton="0" quotePrefix="0" xfId="2">
      <protection locked="0" hidden="0"/>
    </xf>
    <xf numFmtId="172" fontId="0" fillId="0" borderId="2" applyAlignment="1" pivotButton="0" quotePrefix="0" xfId="0">
      <alignment vertical="center"/>
    </xf>
    <xf numFmtId="167" fontId="0" fillId="0" borderId="2" applyAlignment="1" pivotButton="0" quotePrefix="0" xfId="3">
      <alignment vertical="center"/>
    </xf>
    <xf numFmtId="164" fontId="7" fillId="0" borderId="34" applyProtection="1" pivotButton="0" quotePrefix="0" xfId="2">
      <protection locked="0" hidden="0"/>
    </xf>
    <xf numFmtId="167" fontId="0" fillId="0" borderId="29" applyAlignment="1" pivotButton="0" quotePrefix="0" xfId="3">
      <alignment vertical="center"/>
    </xf>
    <xf numFmtId="0" fontId="0" fillId="0" borderId="35" applyAlignment="1" pivotButton="0" quotePrefix="0" xfId="0">
      <alignment vertical="center"/>
    </xf>
    <xf numFmtId="0" fontId="0" fillId="0" borderId="36" applyAlignment="1" pivotButton="0" quotePrefix="0" xfId="0">
      <alignment vertical="center"/>
    </xf>
    <xf numFmtId="0" fontId="0" fillId="0" borderId="36" applyAlignment="1" pivotButton="0" quotePrefix="0" xfId="0">
      <alignment horizontal="center" vertical="center"/>
    </xf>
    <xf numFmtId="164" fontId="7" fillId="0" borderId="37" applyProtection="1" pivotButton="0" quotePrefix="0" xfId="2">
      <protection locked="0" hidden="0"/>
    </xf>
    <xf numFmtId="167" fontId="0" fillId="0" borderId="30" applyAlignment="1" pivotButton="0" quotePrefix="0" xfId="3">
      <alignment vertical="center"/>
    </xf>
    <xf numFmtId="164" fontId="7" fillId="0" borderId="38" applyProtection="1" pivotButton="0" quotePrefix="0" xfId="2">
      <protection locked="0" hidden="0"/>
    </xf>
    <xf numFmtId="167" fontId="0" fillId="0" borderId="39" applyAlignment="1" pivotButton="0" quotePrefix="0" xfId="3">
      <alignment vertical="center"/>
    </xf>
    <xf numFmtId="40" fontId="0" fillId="0" borderId="40" applyAlignment="1" pivotButton="0" quotePrefix="0" xfId="3">
      <alignment vertical="center"/>
    </xf>
    <xf numFmtId="167" fontId="13" fillId="0" borderId="2" applyAlignment="1" pivotButton="0" quotePrefix="0" xfId="3">
      <alignment horizontal="right" vertical="center"/>
    </xf>
    <xf numFmtId="10" fontId="13" fillId="0" borderId="14" applyAlignment="1" pivotButton="0" quotePrefix="0" xfId="1">
      <alignment horizontal="right" vertical="center"/>
    </xf>
    <xf numFmtId="164" fontId="7" fillId="0" borderId="2" applyAlignment="1" applyProtection="1" pivotButton="0" quotePrefix="0" xfId="2">
      <alignment horizontal="right"/>
      <protection locked="0" hidden="0"/>
    </xf>
    <xf numFmtId="165" fontId="3" fillId="3" borderId="14" applyProtection="1" pivotButton="0" quotePrefix="0" xfId="1">
      <protection locked="0" hidden="0"/>
    </xf>
    <xf numFmtId="0" fontId="5" fillId="7" borderId="21" applyAlignment="1" pivotButton="0" quotePrefix="0" xfId="0">
      <alignment horizontal="center" vertical="center" wrapText="1"/>
    </xf>
    <xf numFmtId="14" fontId="7" fillId="12" borderId="2" applyProtection="1" pivotButton="0" quotePrefix="0" xfId="2">
      <protection locked="0" hidden="0"/>
    </xf>
    <xf numFmtId="9" fontId="3" fillId="12" borderId="2" pivotButton="0" quotePrefix="0" xfId="1"/>
    <xf numFmtId="9" fontId="3" fillId="12" borderId="14" pivotButton="0" quotePrefix="0" xfId="1"/>
    <xf numFmtId="165" fontId="0" fillId="0" borderId="2" applyAlignment="1" pivotButton="0" quotePrefix="0" xfId="0">
      <alignment vertical="center"/>
    </xf>
    <xf numFmtId="9" fontId="3" fillId="3" borderId="1" applyProtection="1" pivotButton="0" quotePrefix="0" xfId="1">
      <protection locked="0" hidden="0"/>
    </xf>
    <xf numFmtId="38" fontId="13" fillId="0" borderId="2" applyAlignment="1" pivotButton="0" quotePrefix="0" xfId="3">
      <alignment horizontal="right" vertical="center"/>
    </xf>
    <xf numFmtId="166" fontId="3" fillId="0" borderId="2" applyProtection="1" pivotButton="0" quotePrefix="0" xfId="2">
      <protection locked="0" hidden="0"/>
    </xf>
    <xf numFmtId="167" fontId="5" fillId="4" borderId="21" applyAlignment="1" pivotButton="0" quotePrefix="0" xfId="3">
      <alignment horizontal="centerContinuous" vertical="center" wrapText="1"/>
    </xf>
    <xf numFmtId="0" fontId="5" fillId="0" borderId="41" applyAlignment="1" pivotButton="0" quotePrefix="0" xfId="0">
      <alignment horizontal="center" vertical="center"/>
    </xf>
    <xf numFmtId="0" fontId="5" fillId="4" borderId="29" applyAlignment="1" pivotButton="0" quotePrefix="0" xfId="0">
      <alignment horizontal="centerContinuous" vertical="center" wrapText="1"/>
    </xf>
    <xf numFmtId="167" fontId="0" fillId="4" borderId="29" applyAlignment="1" pivotButton="0" quotePrefix="0" xfId="3">
      <alignment horizontal="centerContinuous" vertical="center"/>
    </xf>
    <xf numFmtId="164" fontId="5" fillId="0" borderId="4" applyAlignment="1" pivotButton="0" quotePrefix="0" xfId="0">
      <alignment vertical="center"/>
    </xf>
    <xf numFmtId="164" fontId="3" fillId="3" borderId="14" applyProtection="1" pivotButton="0" quotePrefix="0" xfId="2">
      <protection locked="0" hidden="0"/>
    </xf>
    <xf numFmtId="0" fontId="22" fillId="0" borderId="0" applyAlignment="1" pivotButton="0" quotePrefix="0" xfId="0">
      <alignment vertical="center"/>
    </xf>
    <xf numFmtId="174" fontId="0" fillId="0" borderId="32" applyAlignment="1" pivotButton="0" quotePrefix="0" xfId="0">
      <alignment horizontal="center" vertical="center"/>
    </xf>
    <xf numFmtId="174" fontId="0" fillId="0" borderId="31" applyAlignment="1" pivotButton="0" quotePrefix="0" xfId="0">
      <alignment horizontal="center" vertical="center"/>
    </xf>
    <xf numFmtId="174" fontId="0" fillId="0" borderId="0" applyAlignment="1" pivotButton="0" quotePrefix="0" xfId="0">
      <alignment horizontal="center" vertical="center"/>
    </xf>
    <xf numFmtId="174" fontId="0" fillId="0" borderId="14" applyAlignment="1" pivotButton="0" quotePrefix="0" xfId="0">
      <alignment horizontal="center" vertical="center"/>
    </xf>
    <xf numFmtId="174" fontId="0" fillId="0" borderId="18" applyAlignment="1" pivotButton="0" quotePrefix="0" xfId="3">
      <alignment horizontal="right" vertical="center"/>
    </xf>
    <xf numFmtId="174" fontId="0" fillId="0" borderId="4" applyAlignment="1" pivotButton="0" quotePrefix="0" xfId="3">
      <alignment horizontal="right" vertical="center"/>
    </xf>
    <xf numFmtId="174" fontId="0" fillId="0" borderId="24" applyAlignment="1" pivotButton="0" quotePrefix="0" xfId="3">
      <alignment horizontal="right" vertical="center"/>
    </xf>
    <xf numFmtId="174" fontId="0" fillId="0" borderId="2" applyAlignment="1" pivotButton="0" quotePrefix="0" xfId="3">
      <alignment horizontal="right" vertical="center"/>
    </xf>
    <xf numFmtId="174" fontId="0" fillId="0" borderId="3" applyAlignment="1" pivotButton="0" quotePrefix="0" xfId="3">
      <alignment horizontal="right" vertical="center"/>
    </xf>
    <xf numFmtId="174" fontId="0" fillId="0" borderId="23" applyAlignment="1" pivotButton="0" quotePrefix="0" xfId="3">
      <alignment horizontal="right" vertical="center"/>
    </xf>
    <xf numFmtId="174" fontId="0" fillId="0" borderId="16" applyAlignment="1" pivotButton="0" quotePrefix="0" xfId="3">
      <alignment horizontal="right" vertical="center"/>
    </xf>
    <xf numFmtId="174" fontId="0" fillId="0" borderId="14" applyAlignment="1" pivotButton="0" quotePrefix="0" xfId="3">
      <alignment horizontal="right" vertical="center"/>
    </xf>
    <xf numFmtId="174" fontId="0" fillId="0" borderId="14" applyAlignment="1" pivotButton="0" quotePrefix="0" xfId="3">
      <alignment horizontal="center" vertical="center"/>
    </xf>
    <xf numFmtId="174" fontId="5" fillId="0" borderId="0" applyAlignment="1" pivotButton="0" quotePrefix="0" xfId="3">
      <alignment horizontal="center" vertical="center"/>
    </xf>
    <xf numFmtId="174" fontId="0" fillId="0" borderId="0" applyAlignment="1" pivotButton="0" quotePrefix="0" xfId="0">
      <alignment vertical="center"/>
    </xf>
    <xf numFmtId="174" fontId="0" fillId="0" borderId="0" applyAlignment="1" pivotButton="0" quotePrefix="0" xfId="3">
      <alignment horizontal="center" vertical="center"/>
    </xf>
    <xf numFmtId="165" fontId="0" fillId="0" borderId="6" applyAlignment="1" pivotButton="0" quotePrefix="0" xfId="1">
      <alignment horizontal="center" vertical="center"/>
    </xf>
    <xf numFmtId="174" fontId="0" fillId="0" borderId="41" applyAlignment="1" pivotButton="0" quotePrefix="0" xfId="3">
      <alignment horizontal="center" vertical="center"/>
    </xf>
    <xf numFmtId="174" fontId="0" fillId="0" borderId="2" applyAlignment="1" pivotButton="0" quotePrefix="0" xfId="3">
      <alignment horizontal="right" vertical="center"/>
    </xf>
    <xf numFmtId="174" fontId="0" fillId="0" borderId="32" applyAlignment="1" pivotButton="0" quotePrefix="0" xfId="0">
      <alignment vertical="center"/>
    </xf>
    <xf numFmtId="174" fontId="0" fillId="0" borderId="33" applyAlignment="1" pivotButton="0" quotePrefix="0" xfId="0">
      <alignment horizontal="center" vertical="center"/>
    </xf>
    <xf numFmtId="174" fontId="0" fillId="0" borderId="0" applyAlignment="1" pivotButton="0" quotePrefix="0" xfId="3">
      <alignment horizontal="center" vertical="center"/>
    </xf>
    <xf numFmtId="175" fontId="0" fillId="0" borderId="7" applyAlignment="1" pivotButton="0" quotePrefix="0" xfId="3">
      <alignment horizontal="center" vertical="center"/>
    </xf>
    <xf numFmtId="175" fontId="0" fillId="0" borderId="8" applyAlignment="1" pivotButton="0" quotePrefix="0" xfId="3">
      <alignment horizontal="center" vertical="center"/>
    </xf>
    <xf numFmtId="0" fontId="6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25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176" fontId="13" fillId="0" borderId="2" applyAlignment="1" pivotButton="0" quotePrefix="0" xfId="3">
      <alignment horizontal="right" vertical="center"/>
    </xf>
    <xf numFmtId="176" fontId="13" fillId="0" borderId="0" applyAlignment="1" pivotButton="0" quotePrefix="0" xfId="0">
      <alignment vertical="center"/>
    </xf>
    <xf numFmtId="176" fontId="13" fillId="0" borderId="0" applyAlignment="1" pivotButton="0" quotePrefix="0" xfId="3">
      <alignment vertical="center"/>
    </xf>
    <xf numFmtId="165" fontId="7" fillId="0" borderId="0" applyAlignment="1" pivotButton="0" quotePrefix="0" xfId="0">
      <alignment vertical="center"/>
    </xf>
    <xf numFmtId="0" fontId="25" fillId="0" borderId="0" applyAlignment="1" pivotButton="0" quotePrefix="0" xfId="0">
      <alignment horizontal="right" vertical="center"/>
    </xf>
    <xf numFmtId="0" fontId="13" fillId="0" borderId="2" applyAlignment="1" pivotButton="0" quotePrefix="0" xfId="0">
      <alignment horizontal="centerContinuous" vertical="center"/>
    </xf>
    <xf numFmtId="0" fontId="13" fillId="0" borderId="24" applyAlignment="1" pivotButton="0" quotePrefix="0" xfId="0">
      <alignment horizontal="centerContinuous" vertical="center"/>
    </xf>
    <xf numFmtId="0" fontId="15" fillId="11" borderId="22" applyAlignment="1" pivotButton="0" quotePrefix="0" xfId="0">
      <alignment horizontal="center" vertical="center"/>
    </xf>
    <xf numFmtId="0" fontId="5" fillId="13" borderId="0" applyAlignment="1" pivotButton="0" quotePrefix="0" xfId="0">
      <alignment vertical="center"/>
    </xf>
    <xf numFmtId="167" fontId="7" fillId="0" borderId="2" applyAlignment="1" pivotButton="0" quotePrefix="0" xfId="3">
      <alignment vertical="center"/>
    </xf>
    <xf numFmtId="167" fontId="3" fillId="3" borderId="2" applyProtection="1" pivotButton="0" quotePrefix="0" xfId="3">
      <protection locked="0" hidden="0"/>
    </xf>
    <xf numFmtId="167" fontId="3" fillId="3" borderId="2" applyProtection="1" pivotButton="0" quotePrefix="0" xfId="2">
      <protection locked="0" hidden="0"/>
    </xf>
    <xf numFmtId="167" fontId="7" fillId="0" borderId="2" applyAlignment="1" pivotButton="0" quotePrefix="0" xfId="0">
      <alignment vertical="center"/>
    </xf>
    <xf numFmtId="165" fontId="7" fillId="0" borderId="2" applyAlignment="1" pivotButton="0" quotePrefix="0" xfId="1">
      <alignment vertical="center"/>
    </xf>
    <xf numFmtId="0" fontId="25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vertical="center"/>
    </xf>
    <xf numFmtId="165" fontId="27" fillId="12" borderId="2" pivotButton="0" quotePrefix="0" xfId="1"/>
    <xf numFmtId="9" fontId="27" fillId="12" borderId="2" pivotButton="0" quotePrefix="0" xfId="1"/>
    <xf numFmtId="166" fontId="27" fillId="12" borderId="2" applyProtection="1" pivotButton="0" quotePrefix="0" xfId="2">
      <protection locked="0" hidden="0"/>
    </xf>
    <xf numFmtId="0" fontId="28" fillId="0" borderId="0" applyAlignment="1" pivotButton="0" quotePrefix="0" xfId="0">
      <alignment vertical="center"/>
    </xf>
    <xf numFmtId="10" fontId="14" fillId="0" borderId="14" applyAlignment="1" pivotButton="0" quotePrefix="0" xfId="1">
      <alignment horizontal="right" vertical="center"/>
    </xf>
    <xf numFmtId="0" fontId="15" fillId="10" borderId="0" applyAlignment="1" pivotButton="0" quotePrefix="0" xfId="0">
      <alignment horizontal="center" vertical="center"/>
    </xf>
    <xf numFmtId="10" fontId="13" fillId="0" borderId="14" applyAlignment="1" pivotButton="0" quotePrefix="0" xfId="1">
      <alignment horizontal="right" vertical="center"/>
    </xf>
    <xf numFmtId="10" fontId="13" fillId="0" borderId="0" applyAlignment="1" pivotButton="0" quotePrefix="0" xfId="1">
      <alignment vertical="center"/>
    </xf>
    <xf numFmtId="10" fontId="13" fillId="0" borderId="42" applyAlignment="1" pivotButton="0" quotePrefix="0" xfId="1">
      <alignment horizontal="right" vertical="center"/>
    </xf>
    <xf numFmtId="10" fontId="13" fillId="0" borderId="43" applyAlignment="1" pivotButton="0" quotePrefix="0" xfId="1">
      <alignment horizontal="right" vertical="center"/>
    </xf>
    <xf numFmtId="0" fontId="5" fillId="6" borderId="19" applyAlignment="1" pivotButton="0" quotePrefix="0" xfId="0">
      <alignment horizontal="centerContinuous" vertical="center"/>
    </xf>
    <xf numFmtId="0" fontId="5" fillId="6" borderId="20" applyAlignment="1" pivotButton="0" quotePrefix="0" xfId="0">
      <alignment horizontal="centerContinuous" vertical="center"/>
    </xf>
    <xf numFmtId="0" fontId="5" fillId="6" borderId="21" applyAlignment="1" pivotButton="0" quotePrefix="0" xfId="0">
      <alignment horizontal="center" vertical="center"/>
    </xf>
    <xf numFmtId="0" fontId="5" fillId="6" borderId="21" applyAlignment="1" pivotButton="0" quotePrefix="0" xfId="0">
      <alignment horizontal="center" vertical="center" wrapText="1"/>
    </xf>
    <xf numFmtId="174" fontId="9" fillId="0" borderId="0" applyAlignment="1" pivotButton="0" quotePrefix="0" xfId="3">
      <alignment vertical="center"/>
    </xf>
    <xf numFmtId="165" fontId="13" fillId="0" borderId="2" applyAlignment="1" pivotButton="0" quotePrefix="0" xfId="1">
      <alignment horizontal="right" vertical="center"/>
    </xf>
    <xf numFmtId="0" fontId="30" fillId="0" borderId="0" applyAlignment="1" pivotButton="0" quotePrefix="0" xfId="0">
      <alignment vertical="center"/>
    </xf>
    <xf numFmtId="0" fontId="9" fillId="0" borderId="44" applyAlignment="1" pivotButton="0" quotePrefix="0" xfId="0">
      <alignment vertical="center"/>
    </xf>
    <xf numFmtId="167" fontId="3" fillId="3" borderId="29" applyProtection="1" pivotButton="0" quotePrefix="0" xfId="2">
      <protection locked="0" hidden="0"/>
    </xf>
    <xf numFmtId="0" fontId="25" fillId="0" borderId="41" applyAlignment="1" pivotButton="0" quotePrefix="0" xfId="0">
      <alignment vertical="center"/>
    </xf>
    <xf numFmtId="167" fontId="7" fillId="0" borderId="45" applyAlignment="1" pivotButton="0" quotePrefix="0" xfId="3">
      <alignment vertical="center"/>
    </xf>
    <xf numFmtId="10" fontId="13" fillId="0" borderId="34" applyAlignment="1" pivotButton="0" quotePrefix="0" xfId="1">
      <alignment horizontal="right" vertical="center"/>
    </xf>
    <xf numFmtId="10" fontId="13" fillId="0" borderId="2" applyAlignment="1" pivotButton="0" quotePrefix="0" xfId="1">
      <alignment horizontal="right" vertical="center"/>
    </xf>
    <xf numFmtId="10" fontId="13" fillId="0" borderId="0" applyAlignment="1" pivotButton="0" quotePrefix="0" xfId="1">
      <alignment vertical="center"/>
    </xf>
    <xf numFmtId="167" fontId="0" fillId="0" borderId="40" applyAlignment="1" pivotButton="0" quotePrefix="0" xfId="3">
      <alignment vertical="center"/>
    </xf>
    <xf numFmtId="10" fontId="13" fillId="0" borderId="46" applyAlignment="1" pivotButton="0" quotePrefix="0" xfId="1">
      <alignment horizontal="right" vertical="center"/>
    </xf>
    <xf numFmtId="0" fontId="5" fillId="8" borderId="0" applyAlignment="1" pivotButton="0" quotePrefix="0" xfId="0">
      <alignment horizontal="center" vertical="center" wrapText="1"/>
    </xf>
    <xf numFmtId="174" fontId="0" fillId="0" borderId="32" applyAlignment="1" pivotButton="0" quotePrefix="0" xfId="3">
      <alignment horizontal="center" vertical="center" wrapText="1"/>
    </xf>
    <xf numFmtId="174" fontId="0" fillId="0" borderId="31" applyAlignment="1" pivotButton="0" quotePrefix="0" xfId="3">
      <alignment horizontal="center" vertical="center" wrapText="1"/>
    </xf>
    <xf numFmtId="174" fontId="0" fillId="0" borderId="18" applyAlignment="1" pivotButton="0" quotePrefix="0" xfId="3">
      <alignment horizontal="right" vertical="center" wrapText="1"/>
    </xf>
    <xf numFmtId="174" fontId="0" fillId="0" borderId="4" applyAlignment="1" pivotButton="0" quotePrefix="0" xfId="3">
      <alignment horizontal="right" vertical="center" wrapText="1"/>
    </xf>
    <xf numFmtId="174" fontId="0" fillId="0" borderId="24" applyAlignment="1" pivotButton="0" quotePrefix="0" xfId="3">
      <alignment horizontal="right" vertical="center" wrapText="1"/>
    </xf>
    <xf numFmtId="174" fontId="0" fillId="0" borderId="3" applyAlignment="1" pivotButton="0" quotePrefix="0" xfId="3">
      <alignment horizontal="right" vertical="center" wrapText="1"/>
    </xf>
    <xf numFmtId="174" fontId="0" fillId="0" borderId="23" applyAlignment="1" pivotButton="0" quotePrefix="0" xfId="3">
      <alignment horizontal="right" vertical="center" wrapText="1"/>
    </xf>
    <xf numFmtId="174" fontId="0" fillId="0" borderId="0" applyAlignment="1" pivotButton="0" quotePrefix="0" xfId="3">
      <alignment horizontal="center" vertical="center" wrapText="1"/>
    </xf>
    <xf numFmtId="174" fontId="0" fillId="0" borderId="41" applyAlignment="1" pivotButton="0" quotePrefix="0" xfId="3">
      <alignment horizontal="center" vertical="center" wrapText="1"/>
    </xf>
    <xf numFmtId="167" fontId="0" fillId="0" borderId="0" applyAlignment="1" pivotButton="0" quotePrefix="0" xfId="3">
      <alignment horizontal="center" vertical="center" wrapText="1"/>
    </xf>
    <xf numFmtId="167" fontId="5" fillId="8" borderId="0" applyAlignment="1" pivotButton="0" quotePrefix="0" xfId="3">
      <alignment horizontal="center" vertical="center" wrapText="1"/>
    </xf>
    <xf numFmtId="174" fontId="0" fillId="0" borderId="32" applyAlignment="1" pivotButton="0" quotePrefix="0" xfId="0">
      <alignment horizontal="center" vertical="center" wrapText="1"/>
    </xf>
    <xf numFmtId="174" fontId="0" fillId="0" borderId="31" applyAlignment="1" pivotButton="0" quotePrefix="0" xfId="0">
      <alignment horizontal="center" vertical="center" wrapText="1"/>
    </xf>
    <xf numFmtId="174" fontId="0" fillId="0" borderId="33" applyAlignment="1" pivotButton="0" quotePrefix="0" xfId="0">
      <alignment horizontal="center" vertical="center" wrapText="1"/>
    </xf>
    <xf numFmtId="174" fontId="0" fillId="0" borderId="16" applyAlignment="1" pivotButton="0" quotePrefix="0" xfId="3">
      <alignment horizontal="right" vertical="center" wrapText="1"/>
    </xf>
    <xf numFmtId="174" fontId="0" fillId="0" borderId="41" applyAlignment="1" pivotButton="0" quotePrefix="0" xfId="3">
      <alignment horizontal="center" vertical="center" wrapText="1"/>
    </xf>
    <xf numFmtId="174" fontId="5" fillId="0" borderId="41" applyAlignment="1" pivotButton="0" quotePrefix="0" xfId="3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5" fillId="8" borderId="0" applyAlignment="1" pivotButton="0" quotePrefix="0" xfId="0">
      <alignment vertical="center" wrapText="1"/>
    </xf>
    <xf numFmtId="0" fontId="5" fillId="5" borderId="10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5" borderId="13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165" fontId="0" fillId="0" borderId="9" applyAlignment="1" pivotButton="0" quotePrefix="0" xfId="1">
      <alignment horizontal="center" vertical="center" wrapText="1"/>
    </xf>
    <xf numFmtId="165" fontId="0" fillId="0" borderId="6" applyAlignment="1" pivotButton="0" quotePrefix="0" xfId="1">
      <alignment horizontal="center" vertical="center" wrapText="1"/>
    </xf>
    <xf numFmtId="167" fontId="0" fillId="4" borderId="29" applyAlignment="1" pivotButton="0" quotePrefix="0" xfId="3">
      <alignment horizontal="centerContinuous" vertical="center" wrapText="1"/>
    </xf>
    <xf numFmtId="174" fontId="0" fillId="0" borderId="32" applyAlignment="1" pivotButton="0" quotePrefix="0" xfId="0">
      <alignment vertical="center" wrapText="1"/>
    </xf>
    <xf numFmtId="174" fontId="0" fillId="0" borderId="2" applyAlignment="1" pivotButton="0" quotePrefix="0" xfId="3">
      <alignment horizontal="right" vertical="center" wrapText="1"/>
    </xf>
    <xf numFmtId="174" fontId="0" fillId="0" borderId="2" applyAlignment="1" pivotButton="0" quotePrefix="0" xfId="3">
      <alignment horizontal="right" vertical="center" wrapText="1"/>
    </xf>
    <xf numFmtId="174" fontId="0" fillId="0" borderId="14" applyAlignment="1" pivotButton="0" quotePrefix="0" xfId="3">
      <alignment horizontal="right" vertical="center" wrapText="1"/>
    </xf>
    <xf numFmtId="174" fontId="0" fillId="0" borderId="14" applyAlignment="1" pivotButton="0" quotePrefix="0" xfId="3">
      <alignment horizontal="center" vertical="center" wrapText="1"/>
    </xf>
    <xf numFmtId="174" fontId="0" fillId="0" borderId="0" applyAlignment="1" pivotButton="0" quotePrefix="0" xfId="3">
      <alignment vertical="center" wrapText="1"/>
    </xf>
    <xf numFmtId="0" fontId="8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 wrapText="1"/>
    </xf>
    <xf numFmtId="167" fontId="5" fillId="0" borderId="0" applyAlignment="1" pivotButton="0" quotePrefix="0" xfId="3">
      <alignment horizontal="center" vertical="center" wrapText="1"/>
    </xf>
    <xf numFmtId="167" fontId="5" fillId="0" borderId="0" applyAlignment="1" pivotButton="0" quotePrefix="0" xfId="3">
      <alignment horizontal="center" vertical="center"/>
    </xf>
    <xf numFmtId="164" fontId="0" fillId="0" borderId="2" applyAlignment="1" pivotButton="0" quotePrefix="0" xfId="0">
      <alignment vertical="center" wrapText="1"/>
    </xf>
    <xf numFmtId="0" fontId="8" fillId="10" borderId="25" applyAlignment="1" pivotButton="0" quotePrefix="0" xfId="0">
      <alignment horizontal="center" vertical="center" wrapText="1"/>
    </xf>
    <xf numFmtId="0" fontId="5" fillId="5" borderId="12" applyAlignment="1" pivotButton="0" quotePrefix="0" xfId="0">
      <alignment horizontal="center" vertical="center" wrapText="1"/>
    </xf>
    <xf numFmtId="0" fontId="32" fillId="10" borderId="47" applyAlignment="1" pivotButton="0" quotePrefix="0" xfId="5">
      <alignment horizontal="left" vertical="center"/>
    </xf>
    <xf numFmtId="0" fontId="33" fillId="10" borderId="47" applyAlignment="1" pivotButton="0" quotePrefix="0" xfId="5">
      <alignment horizontal="right" vertical="center"/>
    </xf>
    <xf numFmtId="167" fontId="13" fillId="0" borderId="0" applyAlignment="1" pivotButton="0" quotePrefix="0" xfId="3">
      <alignment vertical="center"/>
    </xf>
    <xf numFmtId="164" fontId="5" fillId="0" borderId="4" applyAlignment="1" pivotButton="0" quotePrefix="0" xfId="0">
      <alignment horizontal="center" vertical="center"/>
    </xf>
    <xf numFmtId="9" fontId="3" fillId="8" borderId="2" pivotButton="0" quotePrefix="0" xfId="1"/>
    <xf numFmtId="164" fontId="3" fillId="8" borderId="2" applyProtection="1" pivotButton="0" quotePrefix="0" xfId="2">
      <protection locked="0" hidden="0"/>
    </xf>
    <xf numFmtId="164" fontId="25" fillId="3" borderId="2" applyProtection="1" pivotButton="0" quotePrefix="0" xfId="2">
      <protection locked="0" hidden="0"/>
    </xf>
    <xf numFmtId="9" fontId="25" fillId="8" borderId="2" pivotButton="0" quotePrefix="0" xfId="1"/>
    <xf numFmtId="166" fontId="25" fillId="12" borderId="2" applyProtection="1" pivotButton="0" quotePrefix="0" xfId="2">
      <protection locked="0" hidden="0"/>
    </xf>
    <xf numFmtId="0" fontId="34" fillId="12" borderId="0" applyAlignment="1" pivotButton="0" quotePrefix="0" xfId="0">
      <alignment vertical="center"/>
    </xf>
    <xf numFmtId="172" fontId="3" fillId="8" borderId="2" applyProtection="1" pivotButton="0" quotePrefix="0" xfId="2">
      <protection locked="0" hidden="0"/>
    </xf>
    <xf numFmtId="0" fontId="0" fillId="12" borderId="0" applyAlignment="1" pivotButton="0" quotePrefix="0" xfId="0">
      <alignment vertical="center"/>
    </xf>
    <xf numFmtId="167" fontId="3" fillId="12" borderId="14" pivotButton="0" quotePrefix="0" xfId="3"/>
    <xf numFmtId="174" fontId="0" fillId="0" borderId="3" applyAlignment="1" pivotButton="0" quotePrefix="0" xfId="3">
      <alignment horizontal="right" vertical="center" wrapText="1"/>
    </xf>
    <xf numFmtId="174" fontId="0" fillId="12" borderId="3" applyAlignment="1" pivotButton="0" quotePrefix="0" xfId="3">
      <alignment horizontal="right" vertical="center" wrapText="1"/>
    </xf>
    <xf numFmtId="174" fontId="0" fillId="12" borderId="3" applyAlignment="1" pivotButton="0" quotePrefix="0" xfId="3">
      <alignment horizontal="right" vertical="center"/>
    </xf>
    <xf numFmtId="174" fontId="0" fillId="0" borderId="4" applyAlignment="1" pivotButton="0" quotePrefix="0" xfId="3">
      <alignment horizontal="right" vertical="center"/>
    </xf>
    <xf numFmtId="167" fontId="0" fillId="0" borderId="0" applyAlignment="1" pivotButton="0" quotePrefix="0" xfId="3">
      <alignment horizontal="center" vertical="center"/>
    </xf>
    <xf numFmtId="0" fontId="5" fillId="0" borderId="3" applyAlignment="1" pivotButton="0" quotePrefix="0" xfId="0">
      <alignment horizontal="left" vertical="center"/>
    </xf>
    <xf numFmtId="0" fontId="0" fillId="0" borderId="14" applyAlignment="1" pivotButton="0" quotePrefix="0" xfId="0">
      <alignment horizontal="center" vertical="center"/>
    </xf>
    <xf numFmtId="170" fontId="12" fillId="0" borderId="14" applyAlignment="1" pivotButton="0" quotePrefix="0" xfId="4">
      <alignment horizontal="center"/>
    </xf>
    <xf numFmtId="168" fontId="0" fillId="0" borderId="14" applyAlignment="1" pivotButton="0" quotePrefix="0" xfId="3">
      <alignment horizontal="right" vertical="center"/>
    </xf>
    <xf numFmtId="170" fontId="12" fillId="0" borderId="2" applyAlignment="1" pivotButton="0" quotePrefix="0" xfId="4">
      <alignment horizontal="center"/>
    </xf>
    <xf numFmtId="170" fontId="12" fillId="7" borderId="1" applyAlignment="1" pivotButton="0" quotePrefix="0" xfId="4">
      <alignment horizontal="center" wrapText="1"/>
    </xf>
    <xf numFmtId="0" fontId="5" fillId="7" borderId="28" applyAlignment="1" pivotButton="0" quotePrefix="0" xfId="0">
      <alignment horizontal="center" vertical="center"/>
    </xf>
    <xf numFmtId="164" fontId="7" fillId="0" borderId="2" applyProtection="1" pivotButton="0" quotePrefix="0" xfId="2">
      <protection locked="0" hidden="0"/>
    </xf>
    <xf numFmtId="166" fontId="7" fillId="12" borderId="2" applyProtection="1" pivotButton="0" quotePrefix="0" xfId="2">
      <protection locked="0" hidden="0"/>
    </xf>
    <xf numFmtId="0" fontId="1" fillId="0" borderId="0" applyAlignment="1" pivotButton="0" quotePrefix="0" xfId="0">
      <alignment vertical="center"/>
    </xf>
    <xf numFmtId="169" fontId="1" fillId="0" borderId="2" applyAlignment="1" pivotButton="0" quotePrefix="0" xfId="0">
      <alignment vertical="center"/>
    </xf>
    <xf numFmtId="169" fontId="1" fillId="0" borderId="2" applyAlignment="1" pivotButton="0" quotePrefix="0" xfId="1">
      <alignment vertical="center"/>
    </xf>
    <xf numFmtId="10" fontId="3" fillId="8" borderId="2" pivotButton="0" quotePrefix="0" xfId="1"/>
    <xf numFmtId="0" fontId="35" fillId="0" borderId="0" applyAlignment="1" pivotButton="0" quotePrefix="0" xfId="0">
      <alignment vertical="center"/>
    </xf>
    <xf numFmtId="0" fontId="36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166" fontId="27" fillId="0" borderId="2" applyProtection="1" pivotButton="0" quotePrefix="0" xfId="2">
      <protection locked="0" hidden="0"/>
    </xf>
    <xf numFmtId="167" fontId="6" fillId="0" borderId="0" applyAlignment="1" pivotButton="0" quotePrefix="0" xfId="3">
      <alignment horizontal="left" vertical="center"/>
    </xf>
    <xf numFmtId="0" fontId="29" fillId="2" borderId="18" applyAlignment="1" pivotButton="0" quotePrefix="0" xfId="0">
      <alignment horizontal="center" vertical="center"/>
    </xf>
    <xf numFmtId="0" fontId="29" fillId="2" borderId="24" applyAlignment="1" pivotButton="0" quotePrefix="0" xfId="0">
      <alignment horizontal="center" vertical="center"/>
    </xf>
    <xf numFmtId="0" fontId="0" fillId="0" borderId="0" pivotButton="0" quotePrefix="0" xfId="0"/>
    <xf numFmtId="167" fontId="7" fillId="0" borderId="2" applyAlignment="1" pivotButton="0" quotePrefix="0" xfId="3">
      <alignment vertical="center"/>
    </xf>
    <xf numFmtId="165" fontId="3" fillId="2" borderId="2" pivotButton="0" quotePrefix="0" xfId="1"/>
    <xf numFmtId="167" fontId="3" fillId="3" borderId="2" applyProtection="1" pivotButton="0" quotePrefix="0" xfId="3">
      <protection locked="0" hidden="0"/>
    </xf>
    <xf numFmtId="167" fontId="7" fillId="0" borderId="45" applyAlignment="1" pivotButton="0" quotePrefix="0" xfId="3">
      <alignment vertical="center"/>
    </xf>
    <xf numFmtId="165" fontId="7" fillId="0" borderId="0" applyAlignment="1" pivotButton="0" quotePrefix="0" xfId="0">
      <alignment vertical="center"/>
    </xf>
    <xf numFmtId="167" fontId="3" fillId="3" borderId="2" applyProtection="1" pivotButton="0" quotePrefix="0" xfId="2">
      <protection locked="0" hidden="0"/>
    </xf>
    <xf numFmtId="167" fontId="3" fillId="3" borderId="29" applyProtection="1" pivotButton="0" quotePrefix="0" xfId="2">
      <protection locked="0" hidden="0"/>
    </xf>
    <xf numFmtId="167" fontId="7" fillId="0" borderId="2" applyAlignment="1" pivotButton="0" quotePrefix="0" xfId="0">
      <alignment vertical="center"/>
    </xf>
    <xf numFmtId="165" fontId="7" fillId="0" borderId="2" applyAlignment="1" pivotButton="0" quotePrefix="0" xfId="1">
      <alignment vertical="center"/>
    </xf>
    <xf numFmtId="167" fontId="0" fillId="0" borderId="0" applyAlignment="1" pivotButton="0" quotePrefix="0" xfId="3">
      <alignment horizontal="center" vertical="center"/>
    </xf>
    <xf numFmtId="167" fontId="0" fillId="0" borderId="0" applyAlignment="1" pivotButton="0" quotePrefix="0" xfId="3">
      <alignment horizontal="center" vertical="center" wrapText="1"/>
    </xf>
    <xf numFmtId="164" fontId="25" fillId="3" borderId="2" applyProtection="1" pivotButton="0" quotePrefix="0" xfId="2">
      <protection locked="0" hidden="0"/>
    </xf>
    <xf numFmtId="166" fontId="25" fillId="12" borderId="2" applyProtection="1" pivotButton="0" quotePrefix="0" xfId="2">
      <protection locked="0" hidden="0"/>
    </xf>
    <xf numFmtId="167" fontId="5" fillId="8" borderId="0" applyAlignment="1" pivotButton="0" quotePrefix="0" xfId="3">
      <alignment horizontal="center" vertical="center"/>
    </xf>
    <xf numFmtId="167" fontId="5" fillId="0" borderId="0" applyAlignment="1" pivotButton="0" quotePrefix="0" xfId="3">
      <alignment horizontal="center" vertical="center"/>
    </xf>
    <xf numFmtId="175" fontId="0" fillId="0" borderId="7" applyAlignment="1" pivotButton="0" quotePrefix="0" xfId="3">
      <alignment horizontal="center" vertical="center"/>
    </xf>
    <xf numFmtId="175" fontId="0" fillId="0" borderId="8" applyAlignment="1" pivotButton="0" quotePrefix="0" xfId="3">
      <alignment horizontal="center" vertical="center"/>
    </xf>
    <xf numFmtId="165" fontId="0" fillId="0" borderId="9" applyAlignment="1" pivotButton="0" quotePrefix="0" xfId="1">
      <alignment horizontal="center" vertical="center"/>
    </xf>
    <xf numFmtId="165" fontId="0" fillId="0" borderId="6" applyAlignment="1" pivotButton="0" quotePrefix="0" xfId="1">
      <alignment horizontal="center" vertical="center"/>
    </xf>
    <xf numFmtId="164" fontId="3" fillId="3" borderId="2" applyAlignment="1" applyProtection="1" pivotButton="0" quotePrefix="0" xfId="2">
      <alignment horizontal="right"/>
      <protection locked="0" hidden="0"/>
    </xf>
    <xf numFmtId="167" fontId="0" fillId="4" borderId="29" applyAlignment="1" pivotButton="0" quotePrefix="0" xfId="3">
      <alignment horizontal="centerContinuous" vertical="center"/>
    </xf>
    <xf numFmtId="164" fontId="7" fillId="0" borderId="2" applyAlignment="1" applyProtection="1" pivotButton="0" quotePrefix="0" xfId="2">
      <alignment horizontal="right"/>
      <protection locked="0" hidden="0"/>
    </xf>
    <xf numFmtId="167" fontId="5" fillId="4" borderId="21" applyAlignment="1" pivotButton="0" quotePrefix="0" xfId="3">
      <alignment horizontal="centerContinuous" vertical="center" wrapText="1"/>
    </xf>
    <xf numFmtId="167" fontId="5" fillId="4" borderId="17" applyAlignment="1" pivotButton="0" quotePrefix="0" xfId="3">
      <alignment horizontal="center" vertical="center" wrapText="1"/>
    </xf>
    <xf numFmtId="167" fontId="5" fillId="4" borderId="21" applyAlignment="1" pivotButton="0" quotePrefix="0" xfId="3">
      <alignment horizontal="center" vertical="center" wrapText="1"/>
    </xf>
    <xf numFmtId="167" fontId="5" fillId="4" borderId="28" applyAlignment="1" pivotButton="0" quotePrefix="0" xfId="3">
      <alignment horizontal="center" vertical="center" wrapText="1"/>
    </xf>
    <xf numFmtId="167" fontId="5" fillId="4" borderId="23" applyAlignment="1" pivotButton="0" quotePrefix="0" xfId="3">
      <alignment horizontal="center" vertical="center" wrapText="1"/>
    </xf>
    <xf numFmtId="167" fontId="0" fillId="4" borderId="16" applyAlignment="1" pivotButton="0" quotePrefix="0" xfId="3">
      <alignment horizontal="center" vertical="center" wrapText="1"/>
    </xf>
    <xf numFmtId="167" fontId="5" fillId="4" borderId="1" applyAlignment="1" pivotButton="0" quotePrefix="0" xfId="3">
      <alignment horizontal="center" vertical="center" wrapText="1"/>
    </xf>
    <xf numFmtId="170" fontId="12" fillId="7" borderId="1" applyAlignment="1" pivotButton="0" quotePrefix="0" xfId="4">
      <alignment horizontal="center" wrapText="1"/>
    </xf>
    <xf numFmtId="164" fontId="3" fillId="3" borderId="2" applyProtection="1" pivotButton="0" quotePrefix="0" xfId="2">
      <protection locked="0" hidden="0"/>
    </xf>
    <xf numFmtId="164" fontId="0" fillId="0" borderId="2" applyAlignment="1" pivotButton="0" quotePrefix="0" xfId="0">
      <alignment vertical="center"/>
    </xf>
    <xf numFmtId="174" fontId="0" fillId="0" borderId="32" applyAlignment="1" pivotButton="0" quotePrefix="0" xfId="0">
      <alignment vertical="center"/>
    </xf>
    <xf numFmtId="174" fontId="0" fillId="0" borderId="31" applyAlignment="1" pivotButton="0" quotePrefix="0" xfId="0">
      <alignment horizontal="center" vertical="center"/>
    </xf>
    <xf numFmtId="174" fontId="0" fillId="0" borderId="0" applyAlignment="1" pivotButton="0" quotePrefix="0" xfId="3">
      <alignment horizontal="center" vertical="center"/>
    </xf>
    <xf numFmtId="174" fontId="0" fillId="0" borderId="2" applyAlignment="1" pivotButton="0" quotePrefix="0" xfId="3">
      <alignment horizontal="right" vertical="center"/>
    </xf>
    <xf numFmtId="174" fontId="0" fillId="0" borderId="32" applyAlignment="1" pivotButton="0" quotePrefix="0" xfId="0">
      <alignment horizontal="center" vertical="center"/>
    </xf>
    <xf numFmtId="174" fontId="0" fillId="0" borderId="33" applyAlignment="1" pivotButton="0" quotePrefix="0" xfId="0">
      <alignment horizontal="center" vertical="center"/>
    </xf>
    <xf numFmtId="171" fontId="0" fillId="0" borderId="26" applyAlignment="1" pivotButton="0" quotePrefix="0" xfId="0">
      <alignment horizontal="center" vertical="center"/>
    </xf>
    <xf numFmtId="174" fontId="0" fillId="0" borderId="0" applyAlignment="1" pivotButton="0" quotePrefix="0" xfId="0">
      <alignment horizontal="center" vertical="center"/>
    </xf>
    <xf numFmtId="174" fontId="0" fillId="0" borderId="14" applyAlignment="1" pivotButton="0" quotePrefix="0" xfId="0">
      <alignment horizontal="center" vertical="center"/>
    </xf>
    <xf numFmtId="174" fontId="0" fillId="0" borderId="16" applyAlignment="1" pivotButton="0" quotePrefix="0" xfId="3">
      <alignment horizontal="right" vertical="center"/>
    </xf>
    <xf numFmtId="174" fontId="0" fillId="0" borderId="3" applyAlignment="1" pivotButton="0" quotePrefix="0" xfId="3">
      <alignment horizontal="right" vertical="center"/>
    </xf>
    <xf numFmtId="174" fontId="0" fillId="0" borderId="23" applyAlignment="1" pivotButton="0" quotePrefix="0" xfId="3">
      <alignment horizontal="right" vertical="center"/>
    </xf>
    <xf numFmtId="174" fontId="0" fillId="0" borderId="14" applyAlignment="1" pivotButton="0" quotePrefix="0" xfId="3">
      <alignment horizontal="right" vertical="center"/>
    </xf>
    <xf numFmtId="174" fontId="0" fillId="0" borderId="14" applyAlignment="1" pivotButton="0" quotePrefix="0" xfId="3">
      <alignment horizontal="center" vertical="center"/>
    </xf>
    <xf numFmtId="174" fontId="5" fillId="0" borderId="0" applyAlignment="1" pivotButton="0" quotePrefix="0" xfId="3">
      <alignment horizontal="center" vertical="center"/>
    </xf>
    <xf numFmtId="174" fontId="0" fillId="0" borderId="18" applyAlignment="1" pivotButton="0" quotePrefix="0" xfId="3">
      <alignment horizontal="right" vertical="center"/>
    </xf>
    <xf numFmtId="174" fontId="0" fillId="0" borderId="4" applyAlignment="1" pivotButton="0" quotePrefix="0" xfId="3">
      <alignment horizontal="right" vertical="center"/>
    </xf>
    <xf numFmtId="174" fontId="0" fillId="0" borderId="24" applyAlignment="1" pivotButton="0" quotePrefix="0" xfId="3">
      <alignment horizontal="right" vertical="center"/>
    </xf>
    <xf numFmtId="174" fontId="0" fillId="0" borderId="4" applyAlignment="1" pivotButton="0" quotePrefix="0" xfId="3">
      <alignment horizontal="right" vertical="center" wrapText="1"/>
    </xf>
    <xf numFmtId="170" fontId="12" fillId="0" borderId="14" applyAlignment="1" pivotButton="0" quotePrefix="0" xfId="4">
      <alignment horizontal="center"/>
    </xf>
    <xf numFmtId="168" fontId="0" fillId="0" borderId="14" applyAlignment="1" pivotButton="0" quotePrefix="0" xfId="3">
      <alignment horizontal="right" vertical="center"/>
    </xf>
    <xf numFmtId="170" fontId="12" fillId="0" borderId="2" applyAlignment="1" pivotButton="0" quotePrefix="0" xfId="4">
      <alignment horizontal="center"/>
    </xf>
    <xf numFmtId="165" fontId="27" fillId="12" borderId="2" pivotButton="0" quotePrefix="0" xfId="1"/>
    <xf numFmtId="166" fontId="7" fillId="0" borderId="2" applyProtection="1" pivotButton="0" quotePrefix="0" xfId="2">
      <protection locked="0" hidden="0"/>
    </xf>
    <xf numFmtId="166" fontId="7" fillId="12" borderId="2" applyProtection="1" pivotButton="0" quotePrefix="0" xfId="2">
      <protection locked="0" hidden="0"/>
    </xf>
    <xf numFmtId="167" fontId="0" fillId="0" borderId="2" applyAlignment="1" pivotButton="0" quotePrefix="0" xfId="3">
      <alignment vertical="center"/>
    </xf>
    <xf numFmtId="165" fontId="0" fillId="0" borderId="2" applyAlignment="1" pivotButton="0" quotePrefix="0" xfId="0">
      <alignment vertical="center"/>
    </xf>
    <xf numFmtId="164" fontId="7" fillId="0" borderId="14" applyProtection="1" pivotButton="0" quotePrefix="0" xfId="2">
      <protection locked="0" hidden="0"/>
    </xf>
    <xf numFmtId="170" fontId="18" fillId="0" borderId="0" pivotButton="0" quotePrefix="0" xfId="4"/>
    <xf numFmtId="166" fontId="0" fillId="0" borderId="2" applyAlignment="1" pivotButton="0" quotePrefix="0" xfId="0">
      <alignment vertical="center"/>
    </xf>
    <xf numFmtId="167" fontId="0" fillId="0" borderId="2" applyAlignment="1" pivotButton="0" quotePrefix="0" xfId="0">
      <alignment vertical="center"/>
    </xf>
    <xf numFmtId="167" fontId="3" fillId="12" borderId="14" pivotButton="0" quotePrefix="0" xfId="3"/>
    <xf numFmtId="164" fontId="3" fillId="0" borderId="2" applyProtection="1" pivotButton="0" quotePrefix="0" xfId="2">
      <protection locked="0" hidden="0"/>
    </xf>
    <xf numFmtId="164" fontId="7" fillId="0" borderId="34" applyProtection="1" pivotButton="0" quotePrefix="0" xfId="2">
      <protection locked="0" hidden="0"/>
    </xf>
    <xf numFmtId="167" fontId="0" fillId="0" borderId="29" applyAlignment="1" pivotButton="0" quotePrefix="0" xfId="3">
      <alignment vertical="center"/>
    </xf>
    <xf numFmtId="164" fontId="7" fillId="0" borderId="37" applyProtection="1" pivotButton="0" quotePrefix="0" xfId="2">
      <protection locked="0" hidden="0"/>
    </xf>
    <xf numFmtId="167" fontId="0" fillId="0" borderId="30" applyAlignment="1" pivotButton="0" quotePrefix="0" xfId="3">
      <alignment vertical="center"/>
    </xf>
    <xf numFmtId="164" fontId="7" fillId="0" borderId="38" applyProtection="1" pivotButton="0" quotePrefix="0" xfId="2">
      <protection locked="0" hidden="0"/>
    </xf>
    <xf numFmtId="167" fontId="0" fillId="0" borderId="39" applyAlignment="1" pivotButton="0" quotePrefix="0" xfId="3">
      <alignment vertical="center"/>
    </xf>
    <xf numFmtId="174" fontId="0" fillId="0" borderId="0" applyAlignment="1" pivotButton="0" quotePrefix="0" xfId="0">
      <alignment vertical="center"/>
    </xf>
    <xf numFmtId="174" fontId="0" fillId="0" borderId="41" applyAlignment="1" pivotButton="0" quotePrefix="0" xfId="3">
      <alignment horizontal="center" vertical="center" wrapText="1"/>
    </xf>
    <xf numFmtId="174" fontId="5" fillId="0" borderId="41" applyAlignment="1" pivotButton="0" quotePrefix="0" xfId="3">
      <alignment horizontal="center" vertical="center" wrapText="1"/>
    </xf>
    <xf numFmtId="174" fontId="0" fillId="0" borderId="41" applyAlignment="1" pivotButton="0" quotePrefix="0" xfId="3">
      <alignment horizontal="center" vertical="center"/>
    </xf>
    <xf numFmtId="169" fontId="3" fillId="2" borderId="2" pivotButton="0" quotePrefix="0" xfId="1"/>
    <xf numFmtId="165" fontId="3" fillId="2" borderId="15" pivotButton="0" quotePrefix="0" xfId="1"/>
    <xf numFmtId="164" fontId="3" fillId="8" borderId="2" applyProtection="1" pivotButton="0" quotePrefix="0" xfId="2">
      <protection locked="0" hidden="0"/>
    </xf>
    <xf numFmtId="165" fontId="3" fillId="3" borderId="14" applyProtection="1" pivotButton="0" quotePrefix="0" xfId="1">
      <protection locked="0" hidden="0"/>
    </xf>
    <xf numFmtId="173" fontId="0" fillId="0" borderId="2" applyAlignment="1" pivotButton="0" quotePrefix="0" xfId="0">
      <alignment horizontal="right" vertical="center"/>
    </xf>
    <xf numFmtId="172" fontId="3" fillId="8" borderId="2" applyProtection="1" pivotButton="0" quotePrefix="0" xfId="2">
      <protection locked="0" hidden="0"/>
    </xf>
    <xf numFmtId="164" fontId="5" fillId="0" borderId="4" applyAlignment="1" pivotButton="0" quotePrefix="0" xfId="0">
      <alignment vertical="center"/>
    </xf>
    <xf numFmtId="172" fontId="7" fillId="0" borderId="2" applyProtection="1" pivotButton="0" quotePrefix="0" xfId="2">
      <protection locked="0" hidden="0"/>
    </xf>
    <xf numFmtId="172" fontId="0" fillId="0" borderId="2" applyAlignment="1" pivotButton="0" quotePrefix="0" xfId="0">
      <alignment vertical="center"/>
    </xf>
    <xf numFmtId="172" fontId="3" fillId="3" borderId="2" applyProtection="1" pivotButton="0" quotePrefix="0" xfId="2">
      <protection locked="0" hidden="0"/>
    </xf>
    <xf numFmtId="164" fontId="3" fillId="3" borderId="14" applyProtection="1" pivotButton="0" quotePrefix="0" xfId="2">
      <protection locked="0" hidden="0"/>
    </xf>
    <xf numFmtId="166" fontId="3" fillId="0" borderId="2" applyProtection="1" pivotButton="0" quotePrefix="0" xfId="2">
      <protection locked="0" hidden="0"/>
    </xf>
    <xf numFmtId="169" fontId="0" fillId="0" borderId="2" applyAlignment="1" pivotButton="0" quotePrefix="0" xfId="0">
      <alignment vertical="center"/>
    </xf>
    <xf numFmtId="169" fontId="0" fillId="0" borderId="2" applyAlignment="1" pivotButton="0" quotePrefix="0" xfId="1">
      <alignment vertical="center"/>
    </xf>
    <xf numFmtId="167" fontId="6" fillId="0" borderId="0" applyAlignment="1" pivotButton="0" quotePrefix="0" xfId="3">
      <alignment horizontal="left" vertical="center"/>
    </xf>
    <xf numFmtId="168" fontId="0" fillId="0" borderId="0" applyAlignment="1" pivotButton="0" quotePrefix="0" xfId="3">
      <alignment horizontal="center" vertical="center"/>
    </xf>
    <xf numFmtId="164" fontId="7" fillId="0" borderId="2" applyProtection="1" pivotButton="0" quotePrefix="0" xfId="2">
      <protection locked="0" hidden="0"/>
    </xf>
    <xf numFmtId="165" fontId="3" fillId="3" borderId="2" applyProtection="1" pivotButton="0" quotePrefix="0" xfId="1">
      <protection locked="0" hidden="0"/>
    </xf>
    <xf numFmtId="174" fontId="0" fillId="0" borderId="3" applyAlignment="1" pivotButton="0" quotePrefix="0" xfId="3">
      <alignment horizontal="right" vertical="center" wrapText="1"/>
    </xf>
    <xf numFmtId="167" fontId="5" fillId="8" borderId="0" applyAlignment="1" pivotButton="0" quotePrefix="0" xfId="3">
      <alignment horizontal="center" vertical="center" wrapText="1"/>
    </xf>
    <xf numFmtId="167" fontId="5" fillId="0" borderId="0" applyAlignment="1" pivotButton="0" quotePrefix="0" xfId="3">
      <alignment horizontal="center" vertical="center" wrapText="1"/>
    </xf>
    <xf numFmtId="165" fontId="0" fillId="0" borderId="9" applyAlignment="1" pivotButton="0" quotePrefix="0" xfId="1">
      <alignment horizontal="center" vertical="center" wrapText="1"/>
    </xf>
    <xf numFmtId="165" fontId="0" fillId="0" borderId="6" applyAlignment="1" pivotButton="0" quotePrefix="0" xfId="1">
      <alignment horizontal="center" vertical="center" wrapText="1"/>
    </xf>
    <xf numFmtId="167" fontId="0" fillId="4" borderId="29" applyAlignment="1" pivotButton="0" quotePrefix="0" xfId="3">
      <alignment horizontal="centerContinuous" vertical="center" wrapText="1"/>
    </xf>
    <xf numFmtId="174" fontId="0" fillId="0" borderId="32" applyAlignment="1" pivotButton="0" quotePrefix="0" xfId="0">
      <alignment vertical="center" wrapText="1"/>
    </xf>
    <xf numFmtId="174" fontId="0" fillId="0" borderId="31" applyAlignment="1" pivotButton="0" quotePrefix="0" xfId="0">
      <alignment horizontal="center" vertical="center" wrapText="1"/>
    </xf>
    <xf numFmtId="174" fontId="0" fillId="0" borderId="0" applyAlignment="1" pivotButton="0" quotePrefix="0" xfId="3">
      <alignment horizontal="center" vertical="center" wrapText="1"/>
    </xf>
    <xf numFmtId="174" fontId="0" fillId="0" borderId="2" applyAlignment="1" pivotButton="0" quotePrefix="0" xfId="3">
      <alignment horizontal="right" vertical="center" wrapText="1"/>
    </xf>
    <xf numFmtId="174" fontId="0" fillId="0" borderId="32" applyAlignment="1" pivotButton="0" quotePrefix="0" xfId="0">
      <alignment horizontal="center" vertical="center" wrapText="1"/>
    </xf>
    <xf numFmtId="174" fontId="0" fillId="0" borderId="33" applyAlignment="1" pivotButton="0" quotePrefix="0" xfId="0">
      <alignment horizontal="center" vertical="center" wrapText="1"/>
    </xf>
    <xf numFmtId="174" fontId="0" fillId="0" borderId="32" applyAlignment="1" pivotButton="0" quotePrefix="0" xfId="3">
      <alignment horizontal="center" vertical="center" wrapText="1"/>
    </xf>
    <xf numFmtId="174" fontId="0" fillId="0" borderId="31" applyAlignment="1" pivotButton="0" quotePrefix="0" xfId="3">
      <alignment horizontal="center" vertical="center" wrapText="1"/>
    </xf>
    <xf numFmtId="174" fontId="0" fillId="0" borderId="16" applyAlignment="1" pivotButton="0" quotePrefix="0" xfId="3">
      <alignment horizontal="right" vertical="center" wrapText="1"/>
    </xf>
    <xf numFmtId="174" fontId="0" fillId="0" borderId="23" applyAlignment="1" pivotButton="0" quotePrefix="0" xfId="3">
      <alignment horizontal="right" vertical="center" wrapText="1"/>
    </xf>
    <xf numFmtId="174" fontId="0" fillId="0" borderId="14" applyAlignment="1" pivotButton="0" quotePrefix="0" xfId="3">
      <alignment horizontal="right" vertical="center" wrapText="1"/>
    </xf>
    <xf numFmtId="174" fontId="0" fillId="0" borderId="14" applyAlignment="1" pivotButton="0" quotePrefix="0" xfId="3">
      <alignment horizontal="center" vertical="center" wrapText="1"/>
    </xf>
    <xf numFmtId="174" fontId="0" fillId="0" borderId="18" applyAlignment="1" pivotButton="0" quotePrefix="0" xfId="3">
      <alignment horizontal="right" vertical="center" wrapText="1"/>
    </xf>
    <xf numFmtId="174" fontId="0" fillId="0" borderId="24" applyAlignment="1" pivotButton="0" quotePrefix="0" xfId="3">
      <alignment horizontal="right" vertical="center" wrapText="1"/>
    </xf>
    <xf numFmtId="166" fontId="27" fillId="12" borderId="2" applyProtection="1" pivotButton="0" quotePrefix="0" xfId="2">
      <protection locked="0" hidden="0"/>
    </xf>
    <xf numFmtId="174" fontId="0" fillId="0" borderId="0" applyAlignment="1" pivotButton="0" quotePrefix="0" xfId="3">
      <alignment vertical="center" wrapText="1"/>
    </xf>
    <xf numFmtId="166" fontId="27" fillId="0" borderId="2" applyProtection="1" pivotButton="0" quotePrefix="0" xfId="2">
      <protection locked="0" hidden="0"/>
    </xf>
    <xf numFmtId="165" fontId="3" fillId="2" borderId="1" pivotButton="0" quotePrefix="0" xfId="1"/>
    <xf numFmtId="164" fontId="5" fillId="0" borderId="4" applyAlignment="1" pivotButton="0" quotePrefix="0" xfId="0">
      <alignment horizontal="center" vertical="center"/>
    </xf>
    <xf numFmtId="169" fontId="1" fillId="0" borderId="2" applyAlignment="1" pivotButton="0" quotePrefix="0" xfId="0">
      <alignment vertical="center"/>
    </xf>
    <xf numFmtId="169" fontId="1" fillId="0" borderId="2" applyAlignment="1" pivotButton="0" quotePrefix="0" xfId="1">
      <alignment vertical="center"/>
    </xf>
    <xf numFmtId="164" fontId="0" fillId="0" borderId="2" applyAlignment="1" pivotButton="0" quotePrefix="0" xfId="0">
      <alignment vertical="center" wrapText="1"/>
    </xf>
    <xf numFmtId="174" fontId="0" fillId="12" borderId="3" applyAlignment="1" pivotButton="0" quotePrefix="0" xfId="3">
      <alignment horizontal="right" vertical="center" wrapText="1"/>
    </xf>
    <xf numFmtId="174" fontId="0" fillId="12" borderId="3" applyAlignment="1" pivotButton="0" quotePrefix="0" xfId="3">
      <alignment horizontal="right" vertical="center"/>
    </xf>
    <xf numFmtId="167" fontId="0" fillId="0" borderId="40" applyAlignment="1" pivotButton="0" quotePrefix="0" xfId="3">
      <alignment vertical="center"/>
    </xf>
    <xf numFmtId="0" fontId="29" fillId="2" borderId="48" applyAlignment="1" pivotButton="0" quotePrefix="0" xfId="0">
      <alignment horizontal="center" vertical="center"/>
    </xf>
    <xf numFmtId="0" fontId="0" fillId="0" borderId="24" pivotButton="0" quotePrefix="0" xfId="0"/>
    <xf numFmtId="176" fontId="13" fillId="0" borderId="2" applyAlignment="1" pivotButton="0" quotePrefix="0" xfId="3">
      <alignment horizontal="right" vertical="center"/>
    </xf>
    <xf numFmtId="176" fontId="13" fillId="0" borderId="0" applyAlignment="1" pivotButton="0" quotePrefix="0" xfId="3">
      <alignment vertical="center"/>
    </xf>
    <xf numFmtId="176" fontId="13" fillId="0" borderId="0" applyAlignment="1" pivotButton="0" quotePrefix="0" xfId="0">
      <alignment vertical="center"/>
    </xf>
    <xf numFmtId="167" fontId="13" fillId="0" borderId="2" applyAlignment="1" pivotButton="0" quotePrefix="0" xfId="3">
      <alignment horizontal="right" vertical="center"/>
    </xf>
    <xf numFmtId="167" fontId="13" fillId="0" borderId="0" applyAlignment="1" pivotButton="0" quotePrefix="0" xfId="3">
      <alignment vertical="center"/>
    </xf>
    <xf numFmtId="165" fontId="13" fillId="0" borderId="2" applyAlignment="1" pivotButton="0" quotePrefix="0" xfId="1">
      <alignment vertical="center"/>
    </xf>
    <xf numFmtId="165" fontId="13" fillId="0" borderId="2" applyAlignment="1" pivotButton="0" quotePrefix="0" xfId="1">
      <alignment horizontal="right" vertical="center"/>
    </xf>
    <xf numFmtId="169" fontId="13" fillId="0" borderId="18" applyAlignment="1" pivotButton="0" quotePrefix="0" xfId="1">
      <alignment horizontal="centerContinuous" vertical="center"/>
    </xf>
    <xf numFmtId="169" fontId="13" fillId="0" borderId="24" applyAlignment="1" pivotButton="0" quotePrefix="0" xfId="1">
      <alignment horizontal="centerContinuous" vertical="center"/>
    </xf>
    <xf numFmtId="174" fontId="9" fillId="0" borderId="0" applyAlignment="1" pivotButton="0" quotePrefix="0" xfId="3">
      <alignment vertical="center"/>
    </xf>
  </cellXfs>
  <cellStyles count="6">
    <cellStyle name="標準" xfId="0" builtinId="0"/>
    <cellStyle name="パーセント" xfId="1" builtinId="5"/>
    <cellStyle name="DTInputValue" xfId="2"/>
    <cellStyle name="桁区切り" xfId="3" builtinId="6"/>
    <cellStyle name="DTWarning" xfId="4"/>
    <cellStyle name="見出し 1" xfId="5" builtinId="16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b="1"/>
              <a:t>各事業方式の財政負担（収支額）の推移</a:t>
            </a:r>
            <a:endParaRPr lang="en-US" altLang="ja-JP" b="1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ja-JP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05222111111111112"/>
          <y val="0.1013578077859196"/>
          <w val="0.9363093518518518"/>
          <h val="0.7810314719834333"/>
        </manualLayout>
      </layout>
      <barChart>
        <barDir val="col"/>
        <grouping val="clustered"/>
        <varyColors val="0"/>
        <ser>
          <idx val="0"/>
          <order val="0"/>
          <tx>
            <strRef>
              <f>【編集不可】リスト!$D$3</f>
              <strCache>
                <ptCount val="1"/>
                <pt idx="0">
                  <v>DB(PSC)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 w="15875">
              <a:noFill/>
              <a:prstDash val="solid"/>
            </a:ln>
          </spPr>
          <invertIfNegative val="0"/>
          <cat>
            <numRef>
              <f>【編集不可】リスト!$C$4:$C$33</f>
              <numCache>
                <formatCode>General</formatCode>
                <ptCount val="3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</numCache>
            </numRef>
          </cat>
          <val>
            <numRef>
              <f>【編集不可】リスト!$D$4:$D$33</f>
              <numCache>
                <formatCode>#,##0.0;"▲ "#,##0.0</formatCode>
                <ptCount val="30"/>
                <pt idx="0">
                  <v>10</v>
                </pt>
                <pt idx="1">
                  <v>10</v>
                </pt>
                <pt idx="2">
                  <v>1335.25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val>
        </ser>
        <ser>
          <idx val="1"/>
          <order val="1"/>
          <tx>
            <strRef>
              <f>【編集不可】リスト!$E$3</f>
              <strCache>
                <ptCount val="1"/>
                <pt idx="0">
                  <v>DB(PFI-LCC)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 w="15875">
              <a:noFill/>
              <a:prstDash val="solid"/>
            </a:ln>
          </spPr>
          <invertIfNegative val="0"/>
          <cat>
            <numRef>
              <f>【編集不可】リスト!$C$4:$C$33</f>
              <numCache>
                <formatCode>General</formatCode>
                <ptCount val="3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</numCache>
            </numRef>
          </cat>
          <val>
            <numRef>
              <f>【編集不可】リスト!$E$4:$E$33</f>
              <numCache>
                <formatCode>#,##0.0;"▲ "#,##0.0</formatCode>
                <ptCount val="30"/>
                <pt idx="0">
                  <v>31</v>
                </pt>
                <pt idx="1">
                  <v>6</v>
                </pt>
                <pt idx="2">
                  <v>1261.5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val>
        </ser>
        <ser>
          <idx val="2"/>
          <order val="2"/>
          <tx>
            <strRef>
              <f>【編集不可】リスト!$F$3</f>
              <strCache>
                <ptCount val="1"/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 w="15875">
              <a:noFill/>
              <a:prstDash val="solid"/>
            </a:ln>
          </spPr>
          <invertIfNegative val="0"/>
          <cat>
            <numRef>
              <f>【編集不可】リスト!$C$4:$C$33</f>
              <numCache>
                <formatCode>General</formatCode>
                <ptCount val="3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</numCache>
            </numRef>
          </cat>
          <val>
            <numRef>
              <f>【編集不可】リスト!$F$4:$F$33</f>
              <numCache>
                <formatCode>#,##0.0;"▲ "#,##0.0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val>
        </ser>
        <ser>
          <idx val="3"/>
          <order val="3"/>
          <tx>
            <strRef>
              <f>【編集不可】リスト!$G$3</f>
              <strCache>
                <ptCount val="1"/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 w="15875">
              <a:noFill/>
              <a:prstDash val="solid"/>
            </a:ln>
          </spPr>
          <invertIfNegative val="0"/>
          <cat>
            <numRef>
              <f>【編集不可】リスト!$C$4:$C$33</f>
              <numCache>
                <formatCode>General</formatCode>
                <ptCount val="3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</numCache>
            </numRef>
          </cat>
          <val>
            <numRef>
              <f>【編集不可】リスト!$G$4:$G$33</f>
              <numCache>
                <formatCode>#,##0.0;"▲ "#,##0.0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val>
        </ser>
        <ser>
          <idx val="4"/>
          <order val="4"/>
          <tx>
            <strRef>
              <f>【編集不可】リスト!$H$3</f>
              <strCache>
                <ptCount val="1"/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 w="15875">
              <a:noFill/>
              <a:prstDash val="solid"/>
            </a:ln>
          </spPr>
          <invertIfNegative val="0"/>
          <cat>
            <numRef>
              <f>【編集不可】リスト!$C$4:$C$33</f>
              <numCache>
                <formatCode>General</formatCode>
                <ptCount val="3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</numCache>
            </numRef>
          </cat>
          <val>
            <numRef>
              <f>【編集不可】リスト!$H$4:$H$33</f>
              <numCache>
                <formatCode>#,##0.0;"▲ "#,##0.0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val>
        </ser>
        <ser>
          <idx val="5"/>
          <order val="5"/>
          <tx>
            <strRef>
              <f>【編集不可】リスト!$I$3</f>
              <strCache>
                <ptCount val="1"/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 w="15875">
              <a:noFill/>
              <a:prstDash val="solid"/>
            </a:ln>
          </spPr>
          <invertIfNegative val="0"/>
          <cat>
            <numRef>
              <f>【編集不可】リスト!$C$4:$C$33</f>
              <numCache>
                <formatCode>General</formatCode>
                <ptCount val="3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</numCache>
            </numRef>
          </cat>
          <val>
            <numRef>
              <f>【編集不可】リスト!$I$4:$I$33</f>
              <numCache>
                <formatCode>#,##0.0;"▲ "#,##0.0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val>
        </ser>
        <ser>
          <idx val="6"/>
          <order val="6"/>
          <tx>
            <strRef>
              <f>【編集不可】リスト!$J$3</f>
              <strCache>
                <ptCount val="1"/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 w="15875">
              <a:noFill/>
              <a:prstDash val="solid"/>
            </a:ln>
          </spPr>
          <invertIfNegative val="0"/>
          <cat>
            <numRef>
              <f>【編集不可】リスト!$C$4:$C$33</f>
              <numCache>
                <formatCode>General</formatCode>
                <ptCount val="3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</numCache>
            </numRef>
          </cat>
          <val>
            <numRef>
              <f>【編集不可】リスト!$J$4:$J$33</f>
              <numCache>
                <formatCode>#,##0.0;"▲ "#,##0.0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val>
        </ser>
        <ser>
          <idx val="7"/>
          <order val="7"/>
          <tx>
            <strRef>
              <f>【編集不可】リスト!$K$3</f>
              <strCache>
                <ptCount val="1"/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 w="15875">
              <a:noFill/>
              <a:prstDash val="solid"/>
            </a:ln>
          </spPr>
          <invertIfNegative val="0"/>
          <cat>
            <numRef>
              <f>【編集不可】リスト!$C$4:$C$33</f>
              <numCache>
                <formatCode>General</formatCode>
                <ptCount val="3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</numCache>
            </numRef>
          </cat>
          <val>
            <numRef>
              <f>【編集不可】リスト!$K$4:$K$33</f>
              <numCache>
                <formatCode>#,##0.0;"▲ "#,##0.0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val>
        </ser>
        <ser>
          <idx val="8"/>
          <order val="8"/>
          <tx>
            <strRef>
              <f>【編集不可】リスト!$L$3</f>
              <strCache>
                <ptCount val="1"/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 w="15875">
              <a:noFill/>
              <a:prstDash val="solid"/>
            </a:ln>
          </spPr>
          <invertIfNegative val="0"/>
          <cat>
            <numRef>
              <f>【編集不可】リスト!$C$4:$C$33</f>
              <numCache>
                <formatCode>General</formatCode>
                <ptCount val="3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</numCache>
            </numRef>
          </cat>
          <val>
            <numRef>
              <f>【編集不可】リスト!$L$4:$L$33</f>
              <numCache>
                <formatCode>#,##0.0;"▲ "#,##0.0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val>
        </ser>
        <ser>
          <idx val="9"/>
          <order val="9"/>
          <tx>
            <strRef>
              <f>【編集不可】リスト!$M$3</f>
              <strCache>
                <ptCount val="1"/>
              </strCache>
            </strRef>
          </tx>
          <spPr>
            <a:solidFill xmlns:a="http://schemas.openxmlformats.org/drawingml/2006/main">
              <a:schemeClr val="accent4">
                <a:lumMod val="60000"/>
              </a:schemeClr>
            </a:solidFill>
            <a:ln xmlns:a="http://schemas.openxmlformats.org/drawingml/2006/main" w="15875">
              <a:noFill/>
              <a:prstDash val="solid"/>
            </a:ln>
          </spPr>
          <invertIfNegative val="0"/>
          <cat>
            <numRef>
              <f>【編集不可】リスト!$C$4:$C$33</f>
              <numCache>
                <formatCode>General</formatCode>
                <ptCount val="3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</numCache>
            </numRef>
          </cat>
          <val>
            <numRef>
              <f>【編集不可】リスト!$M$4:$M$33</f>
              <numCache>
                <formatCode>#,##0.0;"▲ "#,##0.0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0"/>
        <axId val="553089920"/>
        <axId val="545173568"/>
      </barChart>
      <catAx>
        <axId val="55308992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low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545173568"/>
        <crosses val="autoZero"/>
        <auto val="0"/>
        <lblAlgn val="ctr"/>
        <lblOffset val="100"/>
        <noMultiLvlLbl val="0"/>
      </catAx>
      <valAx>
        <axId val="54517356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.0;&quot;▲ &quot;#,##0.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55308992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ja-JP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22</col>
      <colOff>557893</colOff>
      <row>18</row>
      <rowOff>244927</rowOff>
    </from>
    <to>
      <col>35</col>
      <colOff>536357</colOff>
      <row>37</row>
      <rowOff>121227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zoomScale="85" zoomScaleNormal="85" workbookViewId="0">
      <selection activeCell="A1" sqref="A1"/>
    </sheetView>
  </sheetViews>
  <sheetFormatPr baseColWidth="10" defaultColWidth="0" defaultRowHeight="12" customHeight="1" zeroHeight="1" outlineLevelCol="0"/>
  <cols>
    <col width="9" customWidth="1" style="27" min="1" max="21"/>
    <col hidden="1" width="9" customWidth="1" style="27" min="22" max="16384"/>
  </cols>
  <sheetData>
    <row r="19" customFormat="1" s="27"/>
    <row r="20" customFormat="1" s="27"/>
    <row r="21" hidden="1" customFormat="1" s="27"/>
    <row r="22" hidden="1" customFormat="1" s="27"/>
    <row r="23" hidden="1" customFormat="1" s="27"/>
    <row r="24" hidden="1" customFormat="1" s="27"/>
    <row r="25" hidden="1" customFormat="1" s="27"/>
    <row r="26" hidden="1" customFormat="1" s="27"/>
    <row r="27" hidden="1" customFormat="1" s="27"/>
    <row r="28" hidden="1" customFormat="1" s="27"/>
    <row r="29" hidden="1" customFormat="1" s="27"/>
    <row r="30" hidden="1" customFormat="1" s="27"/>
    <row r="31" hidden="1" customFormat="1" s="27"/>
    <row r="32" hidden="1" customFormat="1" s="27"/>
    <row r="33" hidden="1" customFormat="1" s="27"/>
    <row r="34" hidden="1" customFormat="1" s="27"/>
    <row r="35" hidden="1" customFormat="1" s="27"/>
    <row r="36" hidden="1" customFormat="1" s="27"/>
    <row r="37" hidden="1" customFormat="1" s="27"/>
    <row r="38" hidden="1" customFormat="1" s="27"/>
    <row r="39" hidden="1" customFormat="1" s="27"/>
    <row r="40" hidden="1" customFormat="1" s="27"/>
    <row r="41" hidden="1" customFormat="1" s="27"/>
    <row r="42" hidden="1" customFormat="1" s="27"/>
    <row r="43" hidden="1" customFormat="1" s="27"/>
    <row r="44" hidden="1" customFormat="1" s="27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2:K34"/>
  <sheetViews>
    <sheetView showGridLines="0" zoomScale="70" zoomScaleNormal="70" workbookViewId="0">
      <selection activeCell="A1" sqref="A1"/>
    </sheetView>
  </sheetViews>
  <sheetFormatPr baseColWidth="10" defaultColWidth="11" defaultRowHeight="17" outlineLevelCol="0"/>
  <cols>
    <col width="11" customWidth="1" style="179" min="1" max="5"/>
    <col width="10.83203125" customWidth="1" style="179" min="6" max="6"/>
    <col width="15.83203125" customWidth="1" style="179" min="7" max="7"/>
    <col width="20.83203125" customWidth="1" style="179" min="8" max="8"/>
    <col width="24.6640625" customWidth="1" style="179" min="9" max="9"/>
    <col width="17.1640625" bestFit="1" customWidth="1" style="179" min="10" max="10"/>
    <col width="11" customWidth="1" style="179" min="11" max="16384"/>
  </cols>
  <sheetData>
    <row r="2" ht="18" customHeight="1" s="302">
      <c r="A2" s="190" t="inlineStr">
        <is>
          <t>■事業費内訳入力（削減率・物価上昇率込み）</t>
        </is>
      </c>
      <c r="B2" s="190" t="n"/>
      <c r="C2" s="190" t="n"/>
      <c r="D2" s="190" t="n"/>
      <c r="E2" s="190" t="n"/>
      <c r="F2" s="190" t="n"/>
      <c r="G2" s="190" t="n"/>
      <c r="H2" s="190" t="n"/>
      <c r="I2" s="190" t="n"/>
      <c r="J2" s="190" t="n"/>
    </row>
    <row r="3">
      <c r="A3" s="197" t="inlineStr">
        <is>
          <t>※費用は全て消費税抜で入力する</t>
        </is>
      </c>
    </row>
    <row r="4">
      <c r="G4" s="180" t="inlineStr">
        <is>
          <t>PSC</t>
        </is>
      </c>
      <c r="H4" s="180" t="inlineStr">
        <is>
          <t>削減率（DB/DBO）</t>
        </is>
      </c>
      <c r="I4" s="180" t="inlineStr">
        <is>
          <t>削減率（BT/BTO/BOO/BOT)）</t>
        </is>
      </c>
      <c r="J4" s="180" t="inlineStr">
        <is>
          <t>物価上昇率</t>
        </is>
      </c>
    </row>
    <row r="5">
      <c r="A5" s="179" t="inlineStr">
        <is>
          <t>施設整備費</t>
        </is>
      </c>
      <c r="F5" s="179" t="inlineStr">
        <is>
          <t>百万円</t>
        </is>
      </c>
      <c r="G5" s="303">
        <f>SUM(G6:G7)</f>
        <v/>
      </c>
      <c r="H5" s="304" t="n">
        <v>0.05</v>
      </c>
      <c r="I5" s="304" t="n">
        <v>0.05</v>
      </c>
    </row>
    <row r="6">
      <c r="C6" s="179" t="inlineStr">
        <is>
          <t>過去の落札価格等に基づく積算額</t>
        </is>
      </c>
      <c r="F6" s="179" t="inlineStr">
        <is>
          <t>百万円</t>
        </is>
      </c>
      <c r="G6" s="305" t="n">
        <v>0</v>
      </c>
    </row>
    <row r="7" ht="18" customHeight="1" s="302" thickBot="1">
      <c r="C7" s="179" t="inlineStr">
        <is>
          <t>予算単価に基づく積算額</t>
        </is>
      </c>
      <c r="F7" s="179" t="inlineStr">
        <is>
          <t>百万円</t>
        </is>
      </c>
      <c r="G7" s="305" t="n">
        <v>3000</v>
      </c>
    </row>
    <row r="8" ht="18" customHeight="1" s="302" thickTop="1">
      <c r="B8" s="217" t="inlineStr">
        <is>
          <t>合計</t>
        </is>
      </c>
      <c r="C8" s="217" t="n"/>
      <c r="D8" s="217" t="n"/>
      <c r="E8" s="217" t="n"/>
      <c r="F8" s="217" t="inlineStr">
        <is>
          <t>百万円</t>
        </is>
      </c>
      <c r="G8" s="306">
        <f>SUM(G5)</f>
        <v/>
      </c>
      <c r="H8" s="217" t="n"/>
      <c r="I8" s="217" t="n"/>
      <c r="J8" s="217" t="n"/>
    </row>
    <row r="10">
      <c r="A10" s="179" t="inlineStr">
        <is>
          <t>維持管理運営費（年額）</t>
        </is>
      </c>
      <c r="H10" s="307" t="n"/>
      <c r="I10" s="307" t="n"/>
      <c r="J10" s="307" t="n"/>
    </row>
    <row r="11">
      <c r="A11" s="197" t="n"/>
      <c r="B11" s="179" t="inlineStr">
        <is>
          <t>人件費</t>
        </is>
      </c>
      <c r="F11" s="179" t="inlineStr">
        <is>
          <t>百万円</t>
        </is>
      </c>
      <c r="G11" s="303">
        <f>SUM(G12:G13)</f>
        <v/>
      </c>
      <c r="H11" s="304" t="n">
        <v>0.05</v>
      </c>
      <c r="I11" s="304" t="n">
        <v>0.05</v>
      </c>
      <c r="J11" s="304" t="n">
        <v>0.02</v>
      </c>
    </row>
    <row r="12">
      <c r="A12" s="197" t="n"/>
      <c r="C12" s="179" t="inlineStr">
        <is>
          <t>過去の落札価格等に基づく積算額</t>
        </is>
      </c>
      <c r="F12" s="179" t="inlineStr">
        <is>
          <t>百万円</t>
        </is>
      </c>
      <c r="G12" s="308" t="n">
        <v>0</v>
      </c>
    </row>
    <row r="13">
      <c r="C13" s="179" t="inlineStr">
        <is>
          <t>予算単価に基づく積算額</t>
        </is>
      </c>
      <c r="F13" s="179" t="inlineStr">
        <is>
          <t>百万円</t>
        </is>
      </c>
      <c r="G13" s="308" t="n">
        <v>30</v>
      </c>
    </row>
    <row r="14">
      <c r="B14" s="179" t="inlineStr">
        <is>
          <t>修繕費</t>
        </is>
      </c>
      <c r="F14" s="179" t="inlineStr">
        <is>
          <t>百万円</t>
        </is>
      </c>
      <c r="G14" s="303">
        <f>SUM(G15:G16)</f>
        <v/>
      </c>
      <c r="H14" s="304" t="n">
        <v>0.05</v>
      </c>
      <c r="I14" s="304" t="n">
        <v>0.05</v>
      </c>
      <c r="J14" s="304" t="n">
        <v>0.02</v>
      </c>
    </row>
    <row r="15">
      <c r="C15" s="179" t="inlineStr">
        <is>
          <t>過去の落札価格等に基づく積算額</t>
        </is>
      </c>
      <c r="F15" s="179" t="inlineStr">
        <is>
          <t>百万円</t>
        </is>
      </c>
      <c r="G15" s="308" t="n">
        <v>0</v>
      </c>
    </row>
    <row r="16">
      <c r="C16" s="179" t="inlineStr">
        <is>
          <t>予算単価に基づく積算額</t>
        </is>
      </c>
      <c r="F16" s="179" t="inlineStr">
        <is>
          <t>百万円</t>
        </is>
      </c>
      <c r="G16" s="308" t="n">
        <v>15</v>
      </c>
    </row>
    <row r="17">
      <c r="B17" s="179" t="inlineStr">
        <is>
          <t>動力費</t>
        </is>
      </c>
      <c r="F17" s="179" t="inlineStr">
        <is>
          <t>百万円</t>
        </is>
      </c>
      <c r="G17" s="303">
        <f>SUM(G18:G19)</f>
        <v/>
      </c>
      <c r="H17" s="304" t="n">
        <v>0.05</v>
      </c>
      <c r="I17" s="304" t="n">
        <v>0.05</v>
      </c>
      <c r="J17" s="304" t="n">
        <v>0.02</v>
      </c>
    </row>
    <row r="18">
      <c r="C18" s="179" t="inlineStr">
        <is>
          <t>過去の落札価格等に基づく積算額</t>
        </is>
      </c>
      <c r="F18" s="179" t="inlineStr">
        <is>
          <t>百万円</t>
        </is>
      </c>
      <c r="G18" s="308" t="n">
        <v>0</v>
      </c>
    </row>
    <row r="19">
      <c r="C19" s="179" t="inlineStr">
        <is>
          <t>予算単価に基づく積算額</t>
        </is>
      </c>
      <c r="F19" s="179" t="inlineStr">
        <is>
          <t>百万円</t>
        </is>
      </c>
      <c r="G19" s="308" t="n">
        <v>5</v>
      </c>
    </row>
    <row r="20">
      <c r="B20" s="179" t="inlineStr">
        <is>
          <t>任意入力項目①</t>
        </is>
      </c>
      <c r="F20" s="179" t="inlineStr">
        <is>
          <t>百万円</t>
        </is>
      </c>
      <c r="G20" s="303">
        <f>SUM(G21:G22)</f>
        <v/>
      </c>
      <c r="H20" s="304" t="n">
        <v>0.05</v>
      </c>
      <c r="I20" s="304" t="n">
        <v>0.05</v>
      </c>
      <c r="J20" s="304" t="n">
        <v>0.02</v>
      </c>
    </row>
    <row r="21">
      <c r="C21" s="179" t="inlineStr">
        <is>
          <t>過去の落札価格等に基づく積算額</t>
        </is>
      </c>
      <c r="F21" s="179" t="inlineStr">
        <is>
          <t>百万円</t>
        </is>
      </c>
      <c r="G21" s="308" t="n">
        <v>0</v>
      </c>
    </row>
    <row r="22">
      <c r="C22" s="179" t="inlineStr">
        <is>
          <t>予算単価に基づく積算額</t>
        </is>
      </c>
      <c r="F22" s="179" t="inlineStr">
        <is>
          <t>百万円</t>
        </is>
      </c>
      <c r="G22" s="308" t="n">
        <v>0</v>
      </c>
    </row>
    <row r="23">
      <c r="B23" s="179" t="inlineStr">
        <is>
          <t>任意入力項目②</t>
        </is>
      </c>
      <c r="F23" s="179" t="inlineStr">
        <is>
          <t>百万円</t>
        </is>
      </c>
      <c r="G23" s="303">
        <f>SUM(G24:G25)</f>
        <v/>
      </c>
      <c r="H23" s="304" t="n">
        <v>0.05</v>
      </c>
      <c r="I23" s="304" t="n">
        <v>0.05</v>
      </c>
      <c r="J23" s="304" t="n">
        <v>0.02</v>
      </c>
    </row>
    <row r="24">
      <c r="C24" s="179" t="inlineStr">
        <is>
          <t>過去の落札価格等に基づく積算額</t>
        </is>
      </c>
      <c r="F24" s="179" t="inlineStr">
        <is>
          <t>百万円</t>
        </is>
      </c>
      <c r="G24" s="308" t="n">
        <v>0</v>
      </c>
    </row>
    <row r="25" ht="18" customHeight="1" s="302" thickBot="1">
      <c r="C25" s="179" t="inlineStr">
        <is>
          <t>予算単価に基づく積算額</t>
        </is>
      </c>
      <c r="F25" s="179" t="inlineStr">
        <is>
          <t>百万円</t>
        </is>
      </c>
      <c r="G25" s="309" t="n">
        <v>0</v>
      </c>
    </row>
    <row r="26" ht="18" customHeight="1" s="302" thickTop="1">
      <c r="B26" s="217" t="inlineStr">
        <is>
          <t>合計</t>
        </is>
      </c>
      <c r="C26" s="217" t="n"/>
      <c r="D26" s="217" t="n"/>
      <c r="E26" s="217" t="n"/>
      <c r="F26" s="217" t="inlineStr">
        <is>
          <t>百万円</t>
        </is>
      </c>
      <c r="G26" s="306">
        <f>SUM(G11,G14,G17,G20,G23)</f>
        <v/>
      </c>
      <c r="H26" s="217" t="n"/>
      <c r="I26" s="217" t="n"/>
      <c r="J26" s="217" t="n"/>
    </row>
    <row r="27">
      <c r="C27" s="179" t="inlineStr">
        <is>
          <t>内、過去の落札価格等に基づく積算額</t>
        </is>
      </c>
      <c r="F27" s="179" t="inlineStr">
        <is>
          <t>百万円</t>
        </is>
      </c>
      <c r="G27" s="310">
        <f>SUM(G12,G15,G18,G21,G24)</f>
        <v/>
      </c>
      <c r="H27" s="178" t="n"/>
      <c r="I27" s="178" t="n"/>
      <c r="J27" s="178" t="n"/>
    </row>
    <row r="28">
      <c r="C28" s="179" t="inlineStr">
        <is>
          <t>内、予算単価に基づく積算額</t>
        </is>
      </c>
      <c r="F28" s="179" t="inlineStr">
        <is>
          <t>百万円</t>
        </is>
      </c>
      <c r="G28" s="310">
        <f>SUM(G13,G16,G19,G22,G25)</f>
        <v/>
      </c>
      <c r="H28" s="178" t="n"/>
      <c r="I28" s="178" t="n"/>
      <c r="J28" s="178" t="n"/>
    </row>
    <row r="30">
      <c r="H30" s="180" t="inlineStr">
        <is>
          <t>加重平均削減率（PFI以外）</t>
        </is>
      </c>
      <c r="I30" s="180" t="inlineStr">
        <is>
          <t>加重平均削減率（PFI）</t>
        </is>
      </c>
      <c r="J30" s="180" t="inlineStr">
        <is>
          <t>加重平均物価上昇率</t>
        </is>
      </c>
      <c r="K30" s="196" t="n"/>
    </row>
    <row r="31">
      <c r="H31" s="181" t="n"/>
      <c r="I31" s="181" t="n"/>
    </row>
    <row r="32">
      <c r="G32" s="186" t="inlineStr">
        <is>
          <t>施設整備費に係る削減率</t>
        </is>
      </c>
      <c r="H32" s="311">
        <f>SUM(SUMPRODUCT(G5,H5))/G5</f>
        <v/>
      </c>
      <c r="I32" s="311">
        <f>SUM(SUMPRODUCT(G5,I5))/G5</f>
        <v/>
      </c>
      <c r="J32" s="181" t="n"/>
    </row>
    <row r="33">
      <c r="G33" s="186" t="inlineStr">
        <is>
          <t>維持管理運営費に係る削減率</t>
        </is>
      </c>
      <c r="H33" s="311">
        <f>SUM(SUMPRODUCT(G11,H11),SUMPRODUCT(G14,H14),SUMPRODUCT(G17,H17),SUMPRODUCT(G20,H20),SUMPRODUCT(G23,H23))/G26</f>
        <v/>
      </c>
      <c r="I33" s="311">
        <f>SUM(SUMPRODUCT(G11,I11),SUMPRODUCT(G14,I14),SUMPRODUCT(G17,I17),SUMPRODUCT(G20,I20),SUMPRODUCT(G23,I23))/G26</f>
        <v/>
      </c>
    </row>
    <row r="34">
      <c r="G34" s="186" t="inlineStr">
        <is>
          <t>物価上昇率</t>
        </is>
      </c>
      <c r="H34" s="181" t="n"/>
      <c r="I34" s="181" t="n"/>
      <c r="J34" s="311">
        <f>SUM(SUMPRODUCT(G11,J11),SUMPRODUCT(G14,J14),SUMPRODUCT(G17,J17),SUMPRODUCT(G20,J20),SUMPRODUCT(G23,J23))/G26</f>
        <v/>
      </c>
    </row>
  </sheetData>
  <pageMargins left="0.7" right="0.7" top="0.75" bottom="0.75" header="0.3" footer="0.3"/>
  <pageSetup orientation="landscape" paperSize="8" fitToWidth="0"/>
</worksheet>
</file>

<file path=xl/worksheets/sheet3.xml><?xml version="1.0" encoding="utf-8"?>
<worksheet xmlns="http://schemas.openxmlformats.org/spreadsheetml/2006/main">
  <sheetPr>
    <tabColor rgb="FFFFC000"/>
    <outlinePr summaryBelow="1" summaryRight="1"/>
    <pageSetUpPr fitToPage="1"/>
  </sheetPr>
  <dimension ref="A2:CA112"/>
  <sheetViews>
    <sheetView showGridLines="0" view="pageBreakPreview" topLeftCell="V1" zoomScale="70" zoomScaleNormal="40" zoomScaleSheetLayoutView="70" workbookViewId="0">
      <selection activeCell="AC19" sqref="AC19"/>
    </sheetView>
  </sheetViews>
  <sheetFormatPr baseColWidth="10" defaultColWidth="0" defaultRowHeight="18" zeroHeight="1" outlineLevelCol="1"/>
  <cols>
    <col width="4.83203125" customWidth="1" style="302" min="1" max="1"/>
    <col width="40.6640625" customWidth="1" style="302" min="2" max="2"/>
    <col width="40.1640625" bestFit="1" customWidth="1" style="302" min="3" max="3"/>
    <col width="7.33203125" customWidth="1" style="302" min="4" max="4"/>
    <col width="8.5" bestFit="1" customWidth="1" style="302" min="5" max="5"/>
    <col width="11.5" customWidth="1" style="302" min="6" max="6"/>
    <col width="2.5" customWidth="1" style="302" min="7" max="7"/>
    <col width="43.6640625" customWidth="1" style="302" min="8" max="8"/>
    <col width="1.6640625" customWidth="1" style="302" min="9" max="9"/>
    <col outlineLevel="1" width="12.5" customWidth="1" style="302" min="10" max="11"/>
    <col outlineLevel="1" width="1.83203125" customWidth="1" style="302" min="12" max="12"/>
    <col outlineLevel="1" width="42.1640625" customWidth="1" style="302" min="13" max="13"/>
    <col outlineLevel="1" width="11.1640625" customWidth="1" style="19" min="14" max="14"/>
    <col outlineLevel="1" width="24.5" customWidth="1" style="302" min="15" max="16"/>
    <col outlineLevel="1" width="4.6640625" customWidth="1" style="302" min="17" max="17"/>
    <col outlineLevel="1" width="10" customWidth="1" style="302" min="18" max="18"/>
    <col outlineLevel="1" width="19.1640625" customWidth="1" style="302" min="19" max="19"/>
    <col outlineLevel="1" width="7.5" customWidth="1" style="302" min="20" max="20"/>
    <col outlineLevel="1" width="24.5" customWidth="1" style="302" min="21" max="21"/>
    <col width="12" customWidth="1" style="302" min="22" max="22"/>
    <col width="9.6640625" customWidth="1" style="302" min="23" max="23"/>
    <col width="21.5" customWidth="1" style="302" min="24" max="24"/>
    <col width="10.83203125" customWidth="1" style="302" min="25" max="26"/>
    <col width="10.83203125" customWidth="1" style="19" min="27" max="36"/>
    <col width="10.83203125" customWidth="1" style="312" min="37" max="38"/>
    <col width="12" customWidth="1" style="312" min="39" max="39"/>
    <col width="1.6640625" customWidth="1" style="312" min="40" max="40"/>
    <col width="10.33203125" customWidth="1" style="312" min="41" max="41"/>
    <col width="10.33203125" customWidth="1" style="19" min="42" max="45"/>
    <col width="16" customWidth="1" style="19" min="46" max="49"/>
    <col width="10.6640625" customWidth="1" style="19" min="50" max="54"/>
    <col width="12" customWidth="1" style="19" min="55" max="56"/>
    <col width="1.6640625" customWidth="1" style="19" min="57" max="57"/>
    <col width="12" customWidth="1" style="312" min="58" max="58"/>
    <col width="1.5" customWidth="1" style="19" min="59" max="59"/>
    <col width="16" customWidth="1" style="19" min="60" max="63"/>
    <col width="12" customWidth="1" style="19" min="64" max="70"/>
    <col width="16.83203125" customWidth="1" style="19" min="71" max="71"/>
    <col width="12" customWidth="1" style="19" min="72" max="74"/>
    <col width="2.1640625" customWidth="1" style="19" min="75" max="75"/>
    <col width="12" customWidth="1" style="19" min="76" max="76"/>
    <col width="21" bestFit="1" customWidth="1" style="19" min="77" max="77"/>
    <col hidden="1" width="3.33203125" customWidth="1" style="19" min="78" max="78"/>
    <col hidden="1" style="19" min="79" max="79"/>
    <col hidden="1" style="302" min="80" max="91"/>
    <col hidden="1" width="9" customWidth="1" style="302" min="92" max="16384"/>
  </cols>
  <sheetData>
    <row r="1" ht="15.75" customHeight="1" s="302"/>
    <row r="2">
      <c r="B2" s="4" t="inlineStr">
        <is>
          <t>入力箇所の説明</t>
        </is>
      </c>
      <c r="Y2" s="242" t="n"/>
      <c r="Z2" s="242" t="n"/>
      <c r="AA2" s="33" t="n"/>
      <c r="AB2" s="33" t="n"/>
      <c r="AC2" s="33" t="n"/>
      <c r="AD2" s="33" t="n"/>
      <c r="AE2" s="33" t="n"/>
      <c r="AF2" s="33" t="n"/>
      <c r="AG2" s="33" t="n"/>
      <c r="AH2" s="33" t="n"/>
      <c r="AI2" s="33" t="n"/>
      <c r="AJ2" s="33" t="n"/>
      <c r="AK2" s="313" t="n"/>
      <c r="AL2" s="313" t="n"/>
      <c r="AM2" s="313" t="n"/>
      <c r="AO2" s="313" t="n"/>
      <c r="AP2" s="33" t="n"/>
      <c r="AQ2" s="33" t="n"/>
      <c r="AR2" s="33" t="n"/>
      <c r="AS2" s="33" t="n"/>
      <c r="AT2" s="33" t="n"/>
      <c r="AU2" s="33" t="n"/>
      <c r="AV2" s="33" t="n"/>
      <c r="AW2" s="33" t="n"/>
      <c r="AX2" s="33" t="n"/>
      <c r="AY2" s="33" t="n"/>
      <c r="AZ2" s="33" t="n"/>
      <c r="BA2" s="33" t="n"/>
      <c r="BB2" s="33" t="n"/>
      <c r="BC2" s="33" t="n"/>
      <c r="BD2" s="33" t="n"/>
      <c r="BH2" s="33" t="n"/>
      <c r="BI2" s="33" t="n"/>
      <c r="BJ2" s="33" t="n"/>
      <c r="BK2" s="33" t="n"/>
      <c r="BL2" s="33" t="n"/>
      <c r="BM2" s="33" t="n"/>
      <c r="BN2" s="33" t="n"/>
      <c r="BO2" s="33" t="n"/>
      <c r="BP2" s="33" t="n"/>
      <c r="BQ2" s="33" t="n"/>
      <c r="BR2" s="33" t="n"/>
      <c r="BS2" s="33" t="n"/>
      <c r="BT2" s="33" t="n"/>
      <c r="BU2" s="33" t="n"/>
      <c r="BV2" s="33" t="n"/>
    </row>
    <row r="3">
      <c r="B3" s="314" t="inlineStr">
        <is>
          <t>入力セル（手入力/プルダウンから選択）</t>
        </is>
      </c>
      <c r="Y3" s="242" t="n"/>
      <c r="Z3" s="242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13" t="n"/>
      <c r="AL3" s="313" t="n"/>
      <c r="AM3" s="313" t="n"/>
      <c r="AO3" s="313" t="n"/>
      <c r="AP3" s="33" t="n"/>
      <c r="AQ3" s="33" t="n"/>
      <c r="AR3" s="33" t="n"/>
      <c r="AS3" s="33" t="n"/>
      <c r="AT3" s="33" t="n"/>
      <c r="AU3" s="33" t="n"/>
      <c r="AV3" s="33" t="n"/>
      <c r="AW3" s="33" t="n"/>
      <c r="AX3" s="33" t="n"/>
      <c r="AY3" s="33" t="n"/>
      <c r="AZ3" s="33" t="n"/>
      <c r="BA3" s="33" t="n"/>
      <c r="BB3" s="33" t="n"/>
      <c r="BC3" s="33" t="n"/>
      <c r="BD3" s="33" t="n"/>
      <c r="BH3" s="33" t="n"/>
      <c r="BI3" s="33" t="n"/>
      <c r="BJ3" s="33" t="n"/>
      <c r="BK3" s="33" t="n"/>
      <c r="BL3" s="33" t="n"/>
      <c r="BM3" s="33" t="n"/>
      <c r="BN3" s="33" t="n"/>
      <c r="BO3" s="33" t="n"/>
      <c r="BP3" s="33" t="n"/>
      <c r="BQ3" s="33" t="n"/>
      <c r="BR3" s="33" t="n"/>
      <c r="BS3" s="33" t="n"/>
      <c r="BT3" s="33" t="n"/>
      <c r="BU3" s="33" t="n"/>
      <c r="BV3" s="33" t="n"/>
    </row>
    <row r="4">
      <c r="B4" s="271" t="inlineStr">
        <is>
          <t>デフォルト値</t>
        </is>
      </c>
      <c r="Y4" s="242" t="n"/>
      <c r="Z4" s="242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13" t="n"/>
      <c r="AL4" s="313" t="n"/>
      <c r="AM4" s="313" t="n"/>
      <c r="AO4" s="313" t="n"/>
      <c r="AP4" s="33" t="n"/>
      <c r="AQ4" s="33" t="n"/>
      <c r="AR4" s="33" t="n"/>
      <c r="AS4" s="33" t="n"/>
      <c r="AT4" s="33" t="n"/>
      <c r="AU4" s="33" t="n"/>
      <c r="AV4" s="33" t="n"/>
      <c r="AW4" s="33" t="n"/>
      <c r="AX4" s="33" t="n"/>
      <c r="AY4" s="33" t="n"/>
      <c r="AZ4" s="33" t="n"/>
      <c r="BA4" s="33" t="n"/>
      <c r="BB4" s="33" t="n"/>
      <c r="BC4" s="33" t="n"/>
      <c r="BD4" s="33" t="n"/>
      <c r="BH4" s="33" t="n"/>
      <c r="BI4" s="33" t="n"/>
      <c r="BJ4" s="33" t="n"/>
      <c r="BK4" s="33" t="n"/>
      <c r="BL4" s="33" t="n"/>
      <c r="BM4" s="33" t="n"/>
      <c r="BN4" s="33" t="n"/>
      <c r="BO4" s="33" t="n"/>
      <c r="BP4" s="33" t="n"/>
      <c r="BQ4" s="33" t="n"/>
      <c r="BR4" s="33" t="n"/>
      <c r="BS4" s="33" t="n"/>
      <c r="BT4" s="33" t="n"/>
      <c r="BU4" s="33" t="n"/>
      <c r="BV4" s="33" t="n"/>
    </row>
    <row r="5" ht="15.75" customHeight="1" s="302">
      <c r="B5" s="315" t="inlineStr">
        <is>
          <t>他セルからの参照（入力不要）</t>
        </is>
      </c>
      <c r="Y5" s="242" t="n"/>
      <c r="Z5" s="242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13" t="n"/>
      <c r="AL5" s="313" t="n"/>
      <c r="AM5" s="313" t="n"/>
      <c r="AO5" s="313" t="n"/>
      <c r="AP5" s="33" t="n"/>
      <c r="AQ5" s="33" t="n"/>
      <c r="AR5" s="33" t="n"/>
      <c r="AS5" s="33" t="n"/>
      <c r="AT5" s="33" t="n"/>
      <c r="AU5" s="33" t="n"/>
      <c r="AV5" s="33" t="n"/>
      <c r="AW5" s="33" t="n"/>
      <c r="AX5" s="33" t="n"/>
      <c r="AY5" s="33" t="n"/>
      <c r="AZ5" s="33" t="n"/>
      <c r="BA5" s="33" t="n"/>
      <c r="BB5" s="33" t="n"/>
      <c r="BC5" s="33" t="n"/>
      <c r="BD5" s="33" t="n"/>
      <c r="BH5" s="33" t="n"/>
      <c r="BI5" s="33" t="n"/>
      <c r="BJ5" s="33" t="n"/>
      <c r="BK5" s="33" t="n"/>
      <c r="BL5" s="33" t="n"/>
      <c r="BM5" s="33" t="n"/>
      <c r="BN5" s="33" t="n"/>
      <c r="BO5" s="33" t="n"/>
      <c r="BP5" s="33" t="n"/>
      <c r="BQ5" s="33" t="n"/>
      <c r="BR5" s="33" t="n"/>
      <c r="BS5" s="33" t="n"/>
      <c r="BT5" s="33" t="n"/>
      <c r="BU5" s="33" t="n"/>
      <c r="BV5" s="33" t="n"/>
    </row>
    <row r="6" ht="15.75" customHeight="1" s="302">
      <c r="Y6" s="242" t="n"/>
      <c r="Z6" s="242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13" t="n"/>
      <c r="AL6" s="313" t="n"/>
      <c r="AM6" s="313" t="n"/>
      <c r="AO6" s="313" t="n"/>
      <c r="AP6" s="33" t="n"/>
      <c r="AQ6" s="33" t="n"/>
      <c r="AR6" s="33" t="n"/>
      <c r="AS6" s="33" t="n"/>
      <c r="AT6" s="33" t="n"/>
      <c r="AU6" s="33" t="n"/>
      <c r="AV6" s="33" t="n"/>
      <c r="AW6" s="33" t="n"/>
      <c r="AX6" s="33" t="n"/>
      <c r="AY6" s="33" t="n"/>
      <c r="AZ6" s="33" t="n"/>
      <c r="BA6" s="33" t="n"/>
      <c r="BB6" s="33" t="n"/>
      <c r="BC6" s="33" t="n"/>
      <c r="BD6" s="33" t="n"/>
      <c r="BH6" s="33" t="n"/>
      <c r="BI6" s="33" t="n"/>
      <c r="BJ6" s="33" t="n"/>
      <c r="BK6" s="33" t="n"/>
      <c r="BL6" s="33" t="n"/>
      <c r="BM6" s="33" t="n"/>
      <c r="BN6" s="33" t="n"/>
      <c r="BO6" s="33" t="n"/>
      <c r="BP6" s="33" t="n"/>
      <c r="BQ6" s="33" t="n"/>
      <c r="BR6" s="33" t="n"/>
      <c r="BS6" s="33" t="n"/>
      <c r="BT6" s="33" t="n"/>
      <c r="BU6" s="33" t="n"/>
      <c r="BV6" s="33" t="n"/>
    </row>
    <row r="7" ht="15.75" customFormat="1" customHeight="1" s="4">
      <c r="A7" s="25" t="inlineStr">
        <is>
          <t>■前提条件入力</t>
        </is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4" t="inlineStr">
        <is>
          <t>■計算</t>
        </is>
      </c>
      <c r="K7" s="24" t="n"/>
      <c r="L7" s="24" t="n"/>
      <c r="M7" s="24" t="n"/>
      <c r="N7" s="85" t="n"/>
      <c r="O7" s="24" t="n"/>
      <c r="P7" s="24" t="n"/>
      <c r="Q7" s="24" t="n"/>
      <c r="R7" s="24" t="n"/>
      <c r="S7" s="24" t="n"/>
      <c r="T7" s="24" t="n"/>
      <c r="U7" s="24" t="n"/>
      <c r="V7" s="22" t="inlineStr">
        <is>
          <t>■収支（アウトプット）</t>
        </is>
      </c>
      <c r="W7" s="22" t="n"/>
      <c r="X7" s="22" t="n"/>
      <c r="Y7" s="22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316" t="n"/>
      <c r="AL7" s="316" t="n"/>
      <c r="AM7" s="316" t="n"/>
      <c r="AN7" s="316" t="n"/>
      <c r="AO7" s="316" t="n"/>
      <c r="AP7" s="23" t="n"/>
      <c r="AQ7" s="23" t="n"/>
      <c r="AR7" s="23" t="n"/>
      <c r="AS7" s="23" t="n"/>
      <c r="AT7" s="23" t="n"/>
      <c r="AU7" s="23" t="n"/>
      <c r="AV7" s="23" t="n"/>
      <c r="AW7" s="23" t="n"/>
      <c r="AX7" s="23" t="n"/>
      <c r="AY7" s="23" t="n"/>
      <c r="AZ7" s="23" t="n"/>
      <c r="BA7" s="23" t="n"/>
      <c r="BB7" s="23" t="n"/>
      <c r="BC7" s="23" t="n"/>
      <c r="BD7" s="23" t="n"/>
      <c r="BE7" s="23" t="n"/>
      <c r="BF7" s="316" t="n"/>
      <c r="BG7" s="23" t="n"/>
      <c r="BH7" s="23" t="n"/>
      <c r="BI7" s="23" t="n"/>
      <c r="BJ7" s="23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3" t="n"/>
      <c r="BV7" s="23" t="n"/>
      <c r="BW7" s="23" t="n"/>
      <c r="BX7" s="23" t="n"/>
      <c r="BY7" s="23" t="n"/>
      <c r="BZ7" s="23" t="n"/>
      <c r="CA7" s="23" t="n"/>
    </row>
    <row r="8" ht="15.75" customFormat="1" customHeight="1" s="4">
      <c r="A8" s="273" t="n"/>
      <c r="B8" s="273" t="inlineStr">
        <is>
          <t>※収入・費用は全て消費税抜で入力する</t>
        </is>
      </c>
      <c r="C8" s="257" t="n"/>
      <c r="D8" s="257" t="n"/>
      <c r="E8" s="257" t="n"/>
      <c r="F8" s="257" t="n"/>
      <c r="G8" s="257" t="n"/>
      <c r="H8" s="257" t="n"/>
      <c r="I8" s="257" t="n"/>
      <c r="N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317" t="n"/>
      <c r="AL8" s="317" t="n"/>
      <c r="AM8" s="317" t="n"/>
      <c r="AN8" s="317" t="n"/>
      <c r="AO8" s="317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317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</row>
    <row r="9" ht="15.75" customHeight="1" s="302" thickBot="1">
      <c r="W9" s="55" t="inlineStr">
        <is>
          <t>VFM</t>
        </is>
      </c>
      <c r="X9" s="50" t="n"/>
      <c r="Y9" s="50" t="n"/>
      <c r="AC9" s="8" t="inlineStr">
        <is>
          <t>SPC利回り</t>
        </is>
      </c>
    </row>
    <row r="10" ht="19" customHeight="1" s="302">
      <c r="D10" s="0" t="inlineStr">
        <is>
          <t>単位</t>
        </is>
      </c>
      <c r="K10" s="19" t="n"/>
      <c r="L10" s="19" t="n"/>
      <c r="M10" s="19" t="n"/>
      <c r="N10" s="19" t="inlineStr">
        <is>
          <t>単位</t>
        </is>
      </c>
      <c r="O10" s="19" t="n"/>
      <c r="P10" s="19" t="n"/>
      <c r="Q10" s="19" t="inlineStr">
        <is>
          <t>備考</t>
        </is>
      </c>
      <c r="R10" s="19" t="n"/>
      <c r="S10" s="19" t="n"/>
      <c r="T10" s="19" t="n"/>
      <c r="U10" s="19" t="n"/>
      <c r="W10" s="10" t="inlineStr">
        <is>
          <t>収支差額</t>
        </is>
      </c>
      <c r="X10" s="263" t="inlineStr">
        <is>
          <t>割引・リスク調整加算後</t>
        </is>
      </c>
      <c r="Y10" s="12" t="inlineStr">
        <is>
          <t>％</t>
        </is>
      </c>
      <c r="AC10" s="9" t="inlineStr">
        <is>
          <t>PIRR</t>
        </is>
      </c>
      <c r="BQ10" s="5" t="n"/>
      <c r="BR10" s="5" t="n"/>
      <c r="BS10" s="5" t="n"/>
      <c r="BT10" s="5" t="n"/>
      <c r="BY10" s="5" t="n"/>
    </row>
    <row r="11" ht="15.75" customHeight="1" s="302" thickBot="1">
      <c r="A11" s="4" t="inlineStr">
        <is>
          <t>１．共通条件</t>
        </is>
      </c>
      <c r="J11" s="4" t="inlineStr">
        <is>
          <t>１．共通条件</t>
        </is>
      </c>
      <c r="W11" s="318">
        <f>AL58-BC58</f>
        <v/>
      </c>
      <c r="X11" s="319">
        <f>AM58-BD58</f>
        <v/>
      </c>
      <c r="Y11" s="320">
        <f>X11/AM58</f>
        <v/>
      </c>
      <c r="AC11" s="321">
        <f>IFERROR(XIRR(BV17:BV56,V17:V56),"N/A")</f>
        <v/>
      </c>
      <c r="AD11" s="56" t="inlineStr">
        <is>
          <t>借入金利以上であることを確認</t>
        </is>
      </c>
      <c r="BQ11" s="5" t="n"/>
      <c r="BR11" s="5" t="n"/>
      <c r="BS11" s="5" t="n"/>
      <c r="BT11" s="5" t="n"/>
      <c r="BY11" s="5" t="n"/>
    </row>
    <row r="12" ht="15.75" customHeight="1" s="302">
      <c r="AA12" s="0" t="n"/>
      <c r="AB12" s="0" t="n"/>
      <c r="AC12" s="0" t="n"/>
      <c r="AD12" s="0" t="n"/>
    </row>
    <row r="13" ht="15.75" customHeight="1" s="302">
      <c r="B13" s="0" t="inlineStr">
        <is>
          <t>1.1発注者区分</t>
        </is>
      </c>
      <c r="F13" s="322" t="inlineStr">
        <is>
          <t>市町村</t>
        </is>
      </c>
      <c r="J13" s="0" t="inlineStr">
        <is>
          <t>1.1発注者区分</t>
        </is>
      </c>
      <c r="O13" s="0" t="inlineStr">
        <is>
          <t>国</t>
        </is>
      </c>
      <c r="P13" s="0" t="inlineStr">
        <is>
          <t>都道府県</t>
        </is>
      </c>
      <c r="Q13" s="0" t="inlineStr">
        <is>
          <t>市町村</t>
        </is>
      </c>
      <c r="V13" s="5" t="inlineStr">
        <is>
          <t>スケジュール</t>
        </is>
      </c>
      <c r="W13" s="5" t="inlineStr">
        <is>
          <t>経過年度</t>
        </is>
      </c>
      <c r="X13" s="5" t="inlineStr">
        <is>
          <t>事業期間</t>
        </is>
      </c>
      <c r="Y13" s="59" t="inlineStr">
        <is>
          <t>PSC</t>
        </is>
      </c>
      <c r="Z13" s="60" t="n"/>
      <c r="AA13" s="60" t="n"/>
      <c r="AB13" s="60" t="n"/>
      <c r="AC13" s="60" t="n"/>
      <c r="AD13" s="60" t="n"/>
      <c r="AE13" s="60" t="n"/>
      <c r="AF13" s="60" t="n"/>
      <c r="AG13" s="60" t="n"/>
      <c r="AH13" s="60" t="n"/>
      <c r="AI13" s="60" t="n"/>
      <c r="AJ13" s="103" t="n"/>
      <c r="AK13" s="146" t="inlineStr">
        <is>
          <t>リスク調整額</t>
        </is>
      </c>
      <c r="AL13" s="323" t="n"/>
      <c r="AM13" s="96" t="n"/>
      <c r="AN13" s="32" t="n"/>
      <c r="AO13" s="208" t="inlineStr">
        <is>
          <t>PFI-LCC</t>
        </is>
      </c>
      <c r="AP13" s="209" t="n"/>
      <c r="AQ13" s="209" t="n"/>
      <c r="AR13" s="209" t="n"/>
      <c r="AS13" s="209" t="n"/>
      <c r="AT13" s="209" t="n"/>
      <c r="AU13" s="209" t="n"/>
      <c r="AV13" s="209" t="n"/>
      <c r="AW13" s="209" t="n"/>
      <c r="AX13" s="209" t="n"/>
      <c r="AY13" s="209" t="n"/>
      <c r="AZ13" s="209" t="n"/>
      <c r="BA13" s="209" t="n"/>
      <c r="BB13" s="209" t="n"/>
      <c r="BC13" s="210" t="n"/>
      <c r="BD13" s="211" t="inlineStr">
        <is>
          <t>収支</t>
        </is>
      </c>
      <c r="BE13" s="33" t="n"/>
      <c r="BF13" s="19" t="n"/>
      <c r="BH13" s="65" t="inlineStr">
        <is>
          <t>SPC</t>
        </is>
      </c>
      <c r="BI13" s="66" t="n"/>
      <c r="BJ13" s="66" t="n"/>
      <c r="BK13" s="66" t="n"/>
      <c r="BL13" s="66" t="n"/>
      <c r="BM13" s="66" t="n"/>
      <c r="BN13" s="66" t="n"/>
      <c r="BO13" s="66" t="n"/>
      <c r="BP13" s="66" t="n"/>
      <c r="BQ13" s="66" t="n"/>
      <c r="BR13" s="66" t="n"/>
      <c r="BS13" s="66" t="n"/>
      <c r="BT13" s="66" t="n"/>
      <c r="BU13" s="66" t="n"/>
      <c r="BV13" s="136" t="n"/>
      <c r="BX13" s="84" t="inlineStr">
        <is>
          <t>借入金元本返済</t>
        </is>
      </c>
      <c r="BY13" s="84" t="inlineStr">
        <is>
          <t>Checks</t>
        </is>
      </c>
    </row>
    <row r="14" ht="15.75" customHeight="1" s="302">
      <c r="B14" s="0" t="inlineStr">
        <is>
          <t>1.2事業方式</t>
        </is>
      </c>
      <c r="D14" s="0" t="inlineStr">
        <is>
          <t>-</t>
        </is>
      </c>
      <c r="F14" s="324" t="inlineStr">
        <is>
          <t>DB</t>
        </is>
      </c>
      <c r="Y14" s="59" t="inlineStr">
        <is>
          <t>収入</t>
        </is>
      </c>
      <c r="Z14" s="60" t="n"/>
      <c r="AA14" s="60" t="n"/>
      <c r="AB14" s="60" t="n"/>
      <c r="AC14" s="61" t="n"/>
      <c r="AD14" s="59" t="inlineStr">
        <is>
          <t>支出</t>
        </is>
      </c>
      <c r="AE14" s="60" t="n"/>
      <c r="AF14" s="60" t="n"/>
      <c r="AG14" s="60" t="n"/>
      <c r="AH14" s="60" t="n"/>
      <c r="AI14" s="325" t="n"/>
      <c r="AJ14" s="326" t="inlineStr">
        <is>
          <t>収支</t>
        </is>
      </c>
      <c r="AK14" s="96" t="n"/>
      <c r="AL14" s="327" t="n"/>
      <c r="AM14" s="328" t="inlineStr">
        <is>
          <t>収支</t>
        </is>
      </c>
      <c r="AN14" s="32" t="n"/>
      <c r="AO14" s="63" t="inlineStr">
        <is>
          <t>収入</t>
        </is>
      </c>
      <c r="AP14" s="62" t="n"/>
      <c r="AQ14" s="62" t="n"/>
      <c r="AR14" s="62" t="n"/>
      <c r="AS14" s="64" t="n"/>
      <c r="AT14" s="62" t="inlineStr">
        <is>
          <t>支出</t>
        </is>
      </c>
      <c r="AU14" s="62" t="n"/>
      <c r="AV14" s="62" t="n"/>
      <c r="AW14" s="62" t="n"/>
      <c r="AX14" s="62" t="n"/>
      <c r="AY14" s="62" t="n"/>
      <c r="AZ14" s="62" t="n"/>
      <c r="BA14" s="62" t="n"/>
      <c r="BB14" s="64" t="n"/>
      <c r="BC14" s="35" t="inlineStr">
        <is>
          <t>収支</t>
        </is>
      </c>
      <c r="BD14" s="35" t="inlineStr">
        <is>
          <t>（現在価値割引後）</t>
        </is>
      </c>
      <c r="BE14" s="33" t="n"/>
      <c r="BF14" s="19" t="n"/>
      <c r="BH14" s="65" t="inlineStr">
        <is>
          <t>収入</t>
        </is>
      </c>
      <c r="BI14" s="66" t="n"/>
      <c r="BJ14" s="66" t="n"/>
      <c r="BK14" s="66" t="n"/>
      <c r="BL14" s="66" t="n"/>
      <c r="BM14" s="66" t="n"/>
      <c r="BN14" s="67" t="n"/>
      <c r="BO14" s="65" t="inlineStr">
        <is>
          <t>支出</t>
        </is>
      </c>
      <c r="BP14" s="66" t="n"/>
      <c r="BQ14" s="66" t="n"/>
      <c r="BR14" s="66" t="n"/>
      <c r="BS14" s="66" t="n"/>
      <c r="BT14" s="66" t="n"/>
      <c r="BU14" s="67" t="n"/>
      <c r="BV14" s="44" t="inlineStr">
        <is>
          <t>収支</t>
        </is>
      </c>
      <c r="BX14" s="91" t="n"/>
      <c r="BY14" s="288" t="inlineStr">
        <is>
          <t>割賦収入＞SPC支払</t>
        </is>
      </c>
    </row>
    <row r="15" ht="32.25" customFormat="1" customHeight="1" s="242">
      <c r="N15" s="33" t="n"/>
      <c r="Y15" s="39" t="inlineStr">
        <is>
          <t>補助金</t>
        </is>
      </c>
      <c r="Z15" s="40" t="inlineStr">
        <is>
          <t>交付金</t>
        </is>
      </c>
      <c r="AA15" s="40" t="inlineStr">
        <is>
          <t>起債発行額</t>
        </is>
      </c>
      <c r="AB15" s="40" t="inlineStr">
        <is>
          <t>利用料金
収入</t>
        </is>
      </c>
      <c r="AC15" s="41" t="inlineStr">
        <is>
          <t>収入計</t>
        </is>
      </c>
      <c r="AD15" s="39" t="inlineStr">
        <is>
          <t>施設整備
費用</t>
        </is>
      </c>
      <c r="AE15" s="40" t="inlineStr">
        <is>
          <t>維持管理運営費用</t>
        </is>
      </c>
      <c r="AF15" s="40" t="inlineStr">
        <is>
          <t>モニタリングコスト</t>
        </is>
      </c>
      <c r="AG15" s="40" t="inlineStr">
        <is>
          <t>起債償還額</t>
        </is>
      </c>
      <c r="AH15" s="40" t="inlineStr">
        <is>
          <t>起債利息</t>
        </is>
      </c>
      <c r="AI15" s="329" t="inlineStr">
        <is>
          <t>支出計</t>
        </is>
      </c>
      <c r="AJ15" s="330" t="n"/>
      <c r="AK15" s="83" t="inlineStr">
        <is>
          <t>官民利払費用の差</t>
        </is>
      </c>
      <c r="AL15" s="329" t="inlineStr">
        <is>
          <t>合計</t>
        </is>
      </c>
      <c r="AM15" s="331" t="inlineStr">
        <is>
          <t>（現在価値割引後）</t>
        </is>
      </c>
      <c r="AN15" s="32" t="n"/>
      <c r="AO15" s="86" t="inlineStr">
        <is>
          <t>補助金</t>
        </is>
      </c>
      <c r="AP15" s="87" t="inlineStr">
        <is>
          <t>交付金</t>
        </is>
      </c>
      <c r="AQ15" s="87" t="inlineStr">
        <is>
          <t>起債発行額</t>
        </is>
      </c>
      <c r="AR15" s="87" t="inlineStr">
        <is>
          <t>税収</t>
        </is>
      </c>
      <c r="AS15" s="43" t="inlineStr">
        <is>
          <t>収入計</t>
        </is>
      </c>
      <c r="AT15" s="87" t="inlineStr">
        <is>
          <t>施設整備サービス対価（一括払）</t>
        </is>
      </c>
      <c r="AU15" s="87" t="inlineStr">
        <is>
          <t>施設整備サービス対価（割賦元本）</t>
        </is>
      </c>
      <c r="AV15" s="87" t="inlineStr">
        <is>
          <t>施設整備サービス対価（割賦金利）</t>
        </is>
      </c>
      <c r="AW15" s="87" t="inlineStr">
        <is>
          <t>維持管理費
サービス対価</t>
        </is>
      </c>
      <c r="AX15" s="87" t="inlineStr">
        <is>
          <t>その他費用</t>
        </is>
      </c>
      <c r="AY15" s="87" t="inlineStr">
        <is>
          <t>SPC費用</t>
        </is>
      </c>
      <c r="AZ15" s="87" t="inlineStr">
        <is>
          <t>起債償還額</t>
        </is>
      </c>
      <c r="BA15" s="87" t="inlineStr">
        <is>
          <t>起債利息</t>
        </is>
      </c>
      <c r="BB15" s="43" t="inlineStr">
        <is>
          <t>支出計</t>
        </is>
      </c>
      <c r="BC15" s="88" t="n"/>
      <c r="BD15" s="43" t="n"/>
      <c r="BE15" s="33" t="n"/>
      <c r="BF15" s="262" t="inlineStr">
        <is>
          <t>割引係数</t>
        </is>
      </c>
      <c r="BG15" s="33" t="n"/>
      <c r="BH15" s="45" t="inlineStr">
        <is>
          <t>施設整備サービス対価（一括払）</t>
        </is>
      </c>
      <c r="BI15" s="37" t="inlineStr">
        <is>
          <t>施設整備サービス対価（割賦元本）</t>
        </is>
      </c>
      <c r="BJ15" s="37" t="inlineStr">
        <is>
          <t>施設整備サービス対価（割賦金利）</t>
        </is>
      </c>
      <c r="BK15" s="37" t="inlineStr">
        <is>
          <t>維持管理費
サービス対価</t>
        </is>
      </c>
      <c r="BL15" s="37" t="inlineStr">
        <is>
          <t>SPC費用
サービス対価</t>
        </is>
      </c>
      <c r="BM15" s="37" t="inlineStr">
        <is>
          <t>利用料金
収入</t>
        </is>
      </c>
      <c r="BN15" s="38" t="inlineStr">
        <is>
          <t>収入計</t>
        </is>
      </c>
      <c r="BO15" s="37" t="inlineStr">
        <is>
          <t>施設整備費用</t>
        </is>
      </c>
      <c r="BP15" s="37" t="inlineStr">
        <is>
          <t>維持管理費</t>
        </is>
      </c>
      <c r="BQ15" s="37" t="inlineStr">
        <is>
          <t>支払利息</t>
        </is>
      </c>
      <c r="BR15" s="37" t="inlineStr">
        <is>
          <t>SPC経費</t>
        </is>
      </c>
      <c r="BS15" s="37" t="inlineStr">
        <is>
          <t>SPC当初費用
(設立費用・予備費)
費用</t>
        </is>
      </c>
      <c r="BT15" s="37" t="inlineStr">
        <is>
          <t>法人税
・公租公課</t>
        </is>
      </c>
      <c r="BU15" s="38" t="inlineStr">
        <is>
          <t>支出計</t>
        </is>
      </c>
      <c r="BV15" s="38" t="n"/>
      <c r="BW15" s="33" t="n"/>
      <c r="BX15" s="92" t="n"/>
      <c r="BY15" s="332">
        <f>IF(SUM(BY17:BY46)=0,0,1)</f>
        <v/>
      </c>
      <c r="BZ15" s="33" t="n"/>
    </row>
    <row r="16" ht="15.75" customHeight="1" s="302">
      <c r="B16" s="0" t="inlineStr">
        <is>
          <t>1.3事業期間</t>
        </is>
      </c>
      <c r="C16" s="0" t="inlineStr">
        <is>
          <t>整備期間</t>
        </is>
      </c>
      <c r="D16" s="0" t="inlineStr">
        <is>
          <t>年</t>
        </is>
      </c>
      <c r="F16" s="333" t="n">
        <v>3</v>
      </c>
      <c r="J16" s="4" t="inlineStr">
        <is>
          <t>1.3事業期間（全体）</t>
        </is>
      </c>
      <c r="N16" s="19" t="inlineStr">
        <is>
          <t>年</t>
        </is>
      </c>
      <c r="O16" s="334">
        <f>SUM(F16:F17)</f>
        <v/>
      </c>
      <c r="V16" s="104" t="inlineStr">
        <is>
          <t>リスク調整額</t>
        </is>
      </c>
      <c r="Y16" s="335" t="n"/>
      <c r="Z16" s="336" t="n"/>
      <c r="AA16" s="336" t="n"/>
      <c r="AB16" s="336" t="n"/>
      <c r="AC16" s="336" t="n"/>
      <c r="AD16" s="336" t="n"/>
      <c r="AE16" s="336" t="n"/>
      <c r="AF16" s="336" t="n"/>
      <c r="AG16" s="336" t="n"/>
      <c r="AH16" s="336" t="n"/>
      <c r="AI16" s="336" t="n"/>
      <c r="AJ16" s="336" t="n"/>
      <c r="AK16" s="337" t="n"/>
      <c r="AL16" s="338">
        <f>-SUM(BS17,SUM(BR17:BR46),O105,O110)</f>
        <v/>
      </c>
      <c r="AM16" s="338">
        <f>AL16*BF16</f>
        <v/>
      </c>
      <c r="AN16" s="337" t="n"/>
      <c r="AO16" s="339" t="n"/>
      <c r="AP16" s="336" t="n"/>
      <c r="AQ16" s="336" t="n"/>
      <c r="AR16" s="336" t="n"/>
      <c r="AS16" s="336" t="n"/>
      <c r="AT16" s="336" t="n"/>
      <c r="AU16" s="336" t="n"/>
      <c r="AV16" s="336" t="n"/>
      <c r="AW16" s="336" t="n"/>
      <c r="AX16" s="336" t="n"/>
      <c r="AY16" s="336" t="n"/>
      <c r="AZ16" s="336" t="n"/>
      <c r="BA16" s="336" t="n"/>
      <c r="BB16" s="336" t="n"/>
      <c r="BC16" s="336" t="n"/>
      <c r="BD16" s="340" t="n"/>
      <c r="BE16" s="337" t="n"/>
      <c r="BF16" s="341" t="n">
        <v>1</v>
      </c>
      <c r="BH16" s="339" t="n"/>
      <c r="BI16" s="336" t="n"/>
      <c r="BJ16" s="336" t="n"/>
      <c r="BK16" s="336" t="n"/>
      <c r="BL16" s="336" t="n"/>
      <c r="BM16" s="336" t="n"/>
      <c r="BN16" s="336" t="n"/>
      <c r="BO16" s="336" t="n"/>
      <c r="BP16" s="336" t="n"/>
      <c r="BQ16" s="336" t="n"/>
      <c r="BR16" s="336" t="n"/>
      <c r="BS16" s="336" t="n"/>
      <c r="BT16" s="336" t="n"/>
      <c r="BU16" s="336" t="n"/>
      <c r="BV16" s="336" t="n"/>
      <c r="BW16" s="342" t="n"/>
      <c r="BX16" s="343" t="n"/>
      <c r="BY16" s="283" t="n"/>
      <c r="CA16" s="0" t="n"/>
    </row>
    <row r="17" ht="15.75" customHeight="1" s="302">
      <c r="C17" s="0" t="inlineStr">
        <is>
          <t>維持管理・運営期間</t>
        </is>
      </c>
      <c r="D17" s="0" t="inlineStr">
        <is>
          <t>年</t>
        </is>
      </c>
      <c r="F17" s="333" t="n">
        <v>0</v>
      </c>
      <c r="J17" s="114" t="n"/>
      <c r="V17" s="58">
        <f>IF(W17=1,DATE(YEAR($F$18)+(MONTH($F$18)&gt;=4),4,0),EOMONTH(V15,12))</f>
        <v/>
      </c>
      <c r="W17" s="6" t="n">
        <v>1</v>
      </c>
      <c r="X17" s="282">
        <f>IF(W17&gt;$O$16,"-",IF($W17&lt;=$F$16,"整備期間","維持管理・運営期間"))</f>
        <v/>
      </c>
      <c r="Y17" s="344">
        <f>IF($W17=$F$16,$O$61,0)</f>
        <v/>
      </c>
      <c r="Z17" s="345">
        <f>IF($W17=$F$16,$O$63,0)</f>
        <v/>
      </c>
      <c r="AA17" s="345">
        <f>IF($W17=$F$16,$O$62,0)</f>
        <v/>
      </c>
      <c r="AB17" s="345">
        <f>IF(X17="維持管理・運営期間",$F$56,0)</f>
        <v/>
      </c>
      <c r="AC17" s="346">
        <f>SUM(Y17:Z17,AB17)</f>
        <v/>
      </c>
      <c r="AD17" s="344">
        <f>IF($W17=$F$16,$O$30,0)</f>
        <v/>
      </c>
      <c r="AE17" s="345">
        <f>IF($X17="維持管理・運営期間",$O$41,0)</f>
        <v/>
      </c>
      <c r="AF17" s="345">
        <f>IF(AND($W17&gt;0,$W17&lt;=$O$16),$E$45,0)</f>
        <v/>
      </c>
      <c r="AG17" s="345">
        <f>IF(AND(SUM($AA$16:AA16)&gt;0,SUM($AG$16:AG16)&lt;$O$62,$W17&gt;=$O$65),$O$64,0)</f>
        <v/>
      </c>
      <c r="AH17" s="345">
        <f>IF(SUM($AA15:$AA$17)&gt;0,($O$62-SUM($AG15:$AG$17))*$F$65,0)</f>
        <v/>
      </c>
      <c r="AI17" s="346">
        <f>SUM(AD17:AF17)</f>
        <v/>
      </c>
      <c r="AJ17" s="345">
        <f>AC17-AI17</f>
        <v/>
      </c>
      <c r="AK17" s="347" t="n"/>
      <c r="AL17" s="348" t="n"/>
      <c r="AM17" s="346">
        <f>AJ17*$BF17</f>
        <v/>
      </c>
      <c r="AN17" s="349" t="n"/>
      <c r="AO17" s="344">
        <f>IF($W17=$F$16,$P$61,0)</f>
        <v/>
      </c>
      <c r="AP17" s="345">
        <f>IF($W17=$F$16,$P$63,0)</f>
        <v/>
      </c>
      <c r="AQ17" s="345">
        <f>IF($W17=$F$16,$P$62,0)</f>
        <v/>
      </c>
      <c r="AR17" s="345">
        <f>IF($W17&lt;$O$16,IF(W17=$F$16,$U$92,$U$93),0)</f>
        <v/>
      </c>
      <c r="AS17" s="346">
        <f>SUM(AO17:AP17,AR17)</f>
        <v/>
      </c>
      <c r="AT17" s="345">
        <f>IF(W17=$F$16,$P$30,0)</f>
        <v/>
      </c>
      <c r="AU17" s="345">
        <f>IFERROR(-PPMT($P$36,W17-$F$16,$F$17,SUM(P$31,P$51)),0)</f>
        <v/>
      </c>
      <c r="AV17" s="345">
        <f>IFERROR(-IPMT($P$36,W17-$F$16,$F$17,SUM($P$31,$P$51)),0)</f>
        <v/>
      </c>
      <c r="AW17" s="345">
        <f>IF(AND(W17&gt;$F$16,W17&lt;=SUM($F$16:$F$17)),$P$43,0)</f>
        <v/>
      </c>
      <c r="AX17" s="345">
        <f>IF($W17=1,$F$44,0)+IF(AND($W17&gt;0,$W17&lt;=$O$16),$F$45,0)</f>
        <v/>
      </c>
      <c r="AY17" s="345">
        <f>IF(AND(W17&gt;$F$16,W17&lt;=SUM($F$16:$F$17)),$P$54,0)</f>
        <v/>
      </c>
      <c r="AZ17" s="345">
        <f>IF(AND(SUM($AQ$16:AQ16)&gt;0,SUM($AZ$16:AZ16)&lt;$P$62,$W17&gt;=$P$65),$P$64,0)</f>
        <v/>
      </c>
      <c r="BA17" s="345">
        <f>IF(SUM($AQ16:$AQ$17)&gt;0,($P$62-SUM($AZ16:$AZ$17))*$F$65,0)</f>
        <v/>
      </c>
      <c r="BB17" s="346">
        <f>SUM(AT17:AY17)</f>
        <v/>
      </c>
      <c r="BC17" s="345">
        <f>AS17-BB17</f>
        <v/>
      </c>
      <c r="BD17" s="346">
        <f>BC17*$BF17</f>
        <v/>
      </c>
      <c r="BE17" s="337" t="n"/>
      <c r="BF17" s="46">
        <f>1/(1+$O$22)</f>
        <v/>
      </c>
      <c r="BH17" s="350">
        <f>AT17</f>
        <v/>
      </c>
      <c r="BI17" s="350">
        <f>AU17</f>
        <v/>
      </c>
      <c r="BJ17" s="351">
        <f>AV17</f>
        <v/>
      </c>
      <c r="BK17" s="351">
        <f>AW17</f>
        <v/>
      </c>
      <c r="BL17" s="351">
        <f>AY17</f>
        <v/>
      </c>
      <c r="BM17" s="351">
        <f>IF($W17&gt;$F$16,$F$56,0)</f>
        <v/>
      </c>
      <c r="BN17" s="352">
        <f>SUM(BH17:BM17)</f>
        <v/>
      </c>
      <c r="BO17" s="351">
        <f>IF($W17=$F$16,$P$32,0)</f>
        <v/>
      </c>
      <c r="BP17" s="351">
        <f>IF(AND(W17&gt;$F$16,W17&lt;=SUM($F$16:$F$17)),$P$41,0)</f>
        <v/>
      </c>
      <c r="BQ17" s="351">
        <f>IFERROR(-IPMT($P$67,W17-$F$16,$F$17,SUM(P$31,P$51)),0)</f>
        <v/>
      </c>
      <c r="BR17" s="351">
        <f>IF($W17&lt;=$O$16,$F$105,0)</f>
        <v/>
      </c>
      <c r="BS17" s="353">
        <f>IF($W17=1,SUM($O$103,$O$105),0)</f>
        <v/>
      </c>
      <c r="BT17" s="351">
        <f>IF($W17&lt;$O$16,IF(W17=$F$16,$P$93,$P$94),0)</f>
        <v/>
      </c>
      <c r="BU17" s="352">
        <f>SUM(BO17:BP17,BR17:BT17)</f>
        <v/>
      </c>
      <c r="BV17" s="352">
        <f>BN17-BU17</f>
        <v/>
      </c>
      <c r="BW17" s="342" t="n"/>
      <c r="BX17" s="338">
        <f>IFERROR(-PPMT($P$67,$W17-$F$16,$F$17,SUM(P$31,P$51)),0)</f>
        <v/>
      </c>
      <c r="BY17" s="354" t="n"/>
      <c r="CA17" s="0" t="n"/>
    </row>
    <row r="18" ht="15.75" customHeight="1" s="302">
      <c r="C18" s="0" t="inlineStr">
        <is>
          <t>整備期間開始日</t>
        </is>
      </c>
      <c r="F18" s="68" t="n">
        <v>45383</v>
      </c>
      <c r="J18" s="114" t="n"/>
      <c r="V18" s="58">
        <f>IF(W18=1,DATE(YEAR($F$18)+(MONTH($F$18)&gt;=4),4,0),EOMONTH(V17,12))</f>
        <v/>
      </c>
      <c r="W18" s="7" t="n">
        <v>2</v>
      </c>
      <c r="X18" s="282">
        <f>IF(W18&gt;$O$16,"-",IF($W18&lt;=$F$16,"整備期間","維持管理・運営期間"))</f>
        <v/>
      </c>
      <c r="Y18" s="344">
        <f>IF($W18=$F$16,$O$61,0)</f>
        <v/>
      </c>
      <c r="Z18" s="345">
        <f>IF($W18=$F$16,$O$63,0)</f>
        <v/>
      </c>
      <c r="AA18" s="345">
        <f>IF($W18=$F$16,$O$62,0)</f>
        <v/>
      </c>
      <c r="AB18" s="345">
        <f>IF(X18="維持管理・運営期間",$F$56,0)</f>
        <v/>
      </c>
      <c r="AC18" s="346">
        <f>SUM(Y18:Z18,AB18)</f>
        <v/>
      </c>
      <c r="AD18" s="344">
        <f>IF($W18=$F$16,$O$30,0)</f>
        <v/>
      </c>
      <c r="AE18" s="345">
        <f>IF($X18="維持管理・運営期間",$O$41,0)</f>
        <v/>
      </c>
      <c r="AF18" s="345">
        <f>IF(AND($W18&gt;0,$W18&lt;=$O$16),$E$45,0)</f>
        <v/>
      </c>
      <c r="AG18" s="345">
        <f>IF(AND(SUM($AA$16:AA17)&gt;0,SUM($AG$16:AG17)&lt;$O$62,$W18&gt;=$O$65),$O$64,0)</f>
        <v/>
      </c>
      <c r="AH18" s="351">
        <f>IF(SUM($AA$17:$AA17)&gt;0,($O$62-SUM($AG$17:$AG17))*$F$65,0)</f>
        <v/>
      </c>
      <c r="AI18" s="346">
        <f>SUM(AD18:AF18)</f>
        <v/>
      </c>
      <c r="AJ18" s="351">
        <f>AC18-AI18</f>
        <v/>
      </c>
      <c r="AK18" s="347" t="n"/>
      <c r="AL18" s="348" t="n"/>
      <c r="AM18" s="352">
        <f>AJ18*$BF18</f>
        <v/>
      </c>
      <c r="AN18" s="349" t="n"/>
      <c r="AO18" s="350">
        <f>IF($W18=$F$16,$P$61,0)</f>
        <v/>
      </c>
      <c r="AP18" s="351">
        <f>IF($W18=$F$16,$P$63,0)</f>
        <v/>
      </c>
      <c r="AQ18" s="351">
        <f>IF($W18=$F$16,$P$62,0)</f>
        <v/>
      </c>
      <c r="AR18" s="345">
        <f>IF($W18&lt;$O$16,IF(W18=$F$16,$U$92,$U$93),0)</f>
        <v/>
      </c>
      <c r="AS18" s="346">
        <f>SUM(AO18:AP18,AR18)</f>
        <v/>
      </c>
      <c r="AT18" s="345">
        <f>IF(W18=$F$16,$P$30,0)</f>
        <v/>
      </c>
      <c r="AU18" s="345">
        <f>IFERROR(-PPMT($P$36,W18-$F$16,$F$17,SUM(P$31,P$51)),0)</f>
        <v/>
      </c>
      <c r="AV18" s="345">
        <f>IFERROR(-IPMT($P$36,W18-$F$16,$F$17,SUM($P$31,$P$51)),0)</f>
        <v/>
      </c>
      <c r="AW18" s="345">
        <f>IF(AND(W18&gt;$F$16,W18&lt;=SUM($F$16:$F$17)),$P$43,0)</f>
        <v/>
      </c>
      <c r="AX18" s="345">
        <f>IF($W18=1,$F$44,0)+IF(AND($W18&gt;0,$W18&lt;=$O$16),$F$45,0)</f>
        <v/>
      </c>
      <c r="AY18" s="345">
        <f>IF(AND(W18&gt;$F$16,W18&lt;=SUM($F$16:$F$17)),$P$54,0)</f>
        <v/>
      </c>
      <c r="AZ18" s="345">
        <f>IF(AND(SUM($AQ$16:AQ17)&gt;0,SUM($AZ$16:AZ17)&lt;$P$62,$W18&gt;=$P$65),$P$64,0)</f>
        <v/>
      </c>
      <c r="BA18" s="345">
        <f>IF(SUM($AQ17:$AQ$17)&gt;0,($P$62-SUM($AZ17:$AZ$17))*$F$65,0)</f>
        <v/>
      </c>
      <c r="BB18" s="346">
        <f>SUM(AT18:AY18)</f>
        <v/>
      </c>
      <c r="BC18" s="351">
        <f>AS18-BB18</f>
        <v/>
      </c>
      <c r="BD18" s="352">
        <f>BC18*$BF18</f>
        <v/>
      </c>
      <c r="BE18" s="337" t="n"/>
      <c r="BF18" s="46">
        <f>BF17/(1+$O$22)</f>
        <v/>
      </c>
      <c r="BH18" s="350">
        <f>AT18</f>
        <v/>
      </c>
      <c r="BI18" s="350">
        <f>AU18</f>
        <v/>
      </c>
      <c r="BJ18" s="351">
        <f>AV18</f>
        <v/>
      </c>
      <c r="BK18" s="351">
        <f>AW18</f>
        <v/>
      </c>
      <c r="BL18" s="351">
        <f>AY18</f>
        <v/>
      </c>
      <c r="BM18" s="351">
        <f>IF($W18&gt;$F$16,$F$56,0)</f>
        <v/>
      </c>
      <c r="BN18" s="352">
        <f>SUM(BH18:BM18)</f>
        <v/>
      </c>
      <c r="BO18" s="351">
        <f>IF($W18=$F$16,$P$32,0)</f>
        <v/>
      </c>
      <c r="BP18" s="351">
        <f>IF(AND(W18&gt;$F$16,W18&lt;=SUM($F$16:$F$17)),$P$41,0)</f>
        <v/>
      </c>
      <c r="BQ18" s="351">
        <f>IFERROR(-IPMT($P$67,W18-$F$16,$F$17,SUM(P$31,P$51)),0)</f>
        <v/>
      </c>
      <c r="BR18" s="351">
        <f>IF($W18&lt;=$O$16,$F$105,0)</f>
        <v/>
      </c>
      <c r="BS18" s="353">
        <f>IF($W18=1,SUM($O$103,$O$105),0)</f>
        <v/>
      </c>
      <c r="BT18" s="351">
        <f>IF($W18&lt;$O$16,IF(W18=$F$16,$P$93,$P$94),0)</f>
        <v/>
      </c>
      <c r="BU18" s="352">
        <f>SUM(BO18:BP18,BR18:BT18)</f>
        <v/>
      </c>
      <c r="BV18" s="352">
        <f>BN18-BU18</f>
        <v/>
      </c>
      <c r="BW18" s="342" t="n"/>
      <c r="BX18" s="338">
        <f>IFERROR(-PPMT($P$67,$W18-$F$16,$F$17,SUM(P$31,P$51)),0)</f>
        <v/>
      </c>
      <c r="BY18" s="355" t="n"/>
      <c r="CA18" s="0" t="n"/>
    </row>
    <row r="19" ht="15.75" customHeight="1" s="302">
      <c r="C19" s="0" t="inlineStr">
        <is>
          <t>整備期間終了日</t>
        </is>
      </c>
      <c r="F19" s="137">
        <f>EOMONTH(F18,12*F16-1)</f>
        <v/>
      </c>
      <c r="J19" s="114" t="n"/>
      <c r="V19" s="58">
        <f>IF(W19=1,DATE(YEAR($F$18)+(MONTH($F$18)&gt;=4),4,0),EOMONTH(V18,12))</f>
        <v/>
      </c>
      <c r="W19" s="7" t="n">
        <v>3</v>
      </c>
      <c r="X19" s="282">
        <f>IF(W19&gt;$O$16,"-",IF($W19&lt;=$F$16,"整備期間","維持管理・運営期間"))</f>
        <v/>
      </c>
      <c r="Y19" s="344">
        <f>IF($W19=$F$16,$O$61,0)</f>
        <v/>
      </c>
      <c r="Z19" s="345">
        <f>IF($W19=$F$16,$O$63,0)</f>
        <v/>
      </c>
      <c r="AA19" s="345">
        <f>IF($W19=$F$16,$O$62,0)</f>
        <v/>
      </c>
      <c r="AB19" s="345">
        <f>IF(X19="維持管理・運営期間",$F$56,0)</f>
        <v/>
      </c>
      <c r="AC19" s="346">
        <f>SUM(Y19:Z19,AB19)</f>
        <v/>
      </c>
      <c r="AD19" s="344">
        <f>IF($W19=$F$16,$O$30,0)</f>
        <v/>
      </c>
      <c r="AE19" s="345">
        <f>IF($X19="維持管理・運営期間",$O$41,0)</f>
        <v/>
      </c>
      <c r="AF19" s="345">
        <f>IF(AND($W19&gt;0,$W19&lt;=$O$16),$E$45,0)</f>
        <v/>
      </c>
      <c r="AG19" s="345">
        <f>IF(AND(SUM($AA$16:AA18)&gt;0,SUM($AG$16:AG18)&lt;$O$62,$W19&gt;=$O$65),$O$64,0)</f>
        <v/>
      </c>
      <c r="AH19" s="351">
        <f>IF(SUM($AA$17:$AA18)&gt;0,($O$62-SUM($AG$17:$AG18))*$F$65,0)</f>
        <v/>
      </c>
      <c r="AI19" s="346">
        <f>SUM(AD19:AF19)</f>
        <v/>
      </c>
      <c r="AJ19" s="351">
        <f>AC19-AI19</f>
        <v/>
      </c>
      <c r="AK19" s="347" t="n"/>
      <c r="AL19" s="348" t="n"/>
      <c r="AM19" s="352">
        <f>AJ19*$BF19</f>
        <v/>
      </c>
      <c r="AN19" s="349" t="n"/>
      <c r="AO19" s="350">
        <f>IF($W19=$F$16,$P$61,0)</f>
        <v/>
      </c>
      <c r="AP19" s="351">
        <f>IF($W19=$F$16,$P$63,0)</f>
        <v/>
      </c>
      <c r="AQ19" s="351">
        <f>IF($W19=$F$16,$P$62,0)</f>
        <v/>
      </c>
      <c r="AR19" s="345">
        <f>IF($W19&lt;$O$16,IF(W19=$F$16,$U$92,$U$93),0)</f>
        <v/>
      </c>
      <c r="AS19" s="346">
        <f>SUM(AO19:AP19,AR19)</f>
        <v/>
      </c>
      <c r="AT19" s="345">
        <f>IF(W19=$F$16,$P$30,0)</f>
        <v/>
      </c>
      <c r="AU19" s="345">
        <f>IFERROR(-PPMT($P$36,W19-$F$16,$F$17,SUM(P$31,P$51)),0)</f>
        <v/>
      </c>
      <c r="AV19" s="345">
        <f>IFERROR(-IPMT($P$36,W19-$F$16,$F$17,SUM($P$31,$P$51)),0)</f>
        <v/>
      </c>
      <c r="AW19" s="345">
        <f>IF(AND(W19&gt;$F$16,W19&lt;=SUM($F$16:$F$17)),$P$43,0)</f>
        <v/>
      </c>
      <c r="AX19" s="345">
        <f>IF($W19=1,$F$44,0)+IF(AND($W19&gt;0,$W19&lt;=$O$16),$F$45,0)</f>
        <v/>
      </c>
      <c r="AY19" s="345">
        <f>IF(AND(W19&gt;$F$16,W19&lt;=SUM($F$16:$F$17)),$P$54,0)</f>
        <v/>
      </c>
      <c r="AZ19" s="345">
        <f>IF(AND(SUM($AQ$16:AQ18)&gt;0,SUM($AZ$16:AZ18)&lt;$P$62,$W19&gt;=$P$65),$P$64,0)</f>
        <v/>
      </c>
      <c r="BA19" s="345">
        <f>IF(SUM($AQ$17:$AQ18)&gt;0,($P$62-SUM($AZ$17:$AZ18))*$F$65,0)</f>
        <v/>
      </c>
      <c r="BB19" s="346">
        <f>SUM(AT19:AY19)</f>
        <v/>
      </c>
      <c r="BC19" s="351">
        <f>AS19-BB19</f>
        <v/>
      </c>
      <c r="BD19" s="352">
        <f>BC19*$BF19</f>
        <v/>
      </c>
      <c r="BE19" s="337" t="n"/>
      <c r="BF19" s="46">
        <f>BF18/(1+$O$22)</f>
        <v/>
      </c>
      <c r="BH19" s="350">
        <f>AT19</f>
        <v/>
      </c>
      <c r="BI19" s="350">
        <f>AU19</f>
        <v/>
      </c>
      <c r="BJ19" s="351">
        <f>AV19</f>
        <v/>
      </c>
      <c r="BK19" s="351">
        <f>AW19</f>
        <v/>
      </c>
      <c r="BL19" s="351">
        <f>AY19</f>
        <v/>
      </c>
      <c r="BM19" s="351">
        <f>IF($W19&gt;$F$16,$F$56,0)</f>
        <v/>
      </c>
      <c r="BN19" s="352">
        <f>SUM(BH19:BM19)</f>
        <v/>
      </c>
      <c r="BO19" s="351">
        <f>IF($W19=$F$16,$P$32,0)</f>
        <v/>
      </c>
      <c r="BP19" s="351">
        <f>IF(AND(W19&gt;$F$16,W19&lt;=SUM($F$16:$F$17)),$P$41,0)</f>
        <v/>
      </c>
      <c r="BQ19" s="351">
        <f>IFERROR(-IPMT($P$67,W19-$F$16,$F$17,SUM(P$31,P$51)),0)</f>
        <v/>
      </c>
      <c r="BR19" s="351">
        <f>IF($W19&lt;=$O$16,$F$105,0)</f>
        <v/>
      </c>
      <c r="BS19" s="353">
        <f>IF($W19=1,SUM($O$103,$O$105),0)</f>
        <v/>
      </c>
      <c r="BT19" s="351">
        <f>IF($W19&lt;$O$16,IF(W19=$F$16,$P$93,$P$94),0)</f>
        <v/>
      </c>
      <c r="BU19" s="352">
        <f>SUM(BO19:BP19,BR19:BT19)</f>
        <v/>
      </c>
      <c r="BV19" s="352">
        <f>BN19-BU19</f>
        <v/>
      </c>
      <c r="BW19" s="342" t="n"/>
      <c r="BX19" s="338">
        <f>IFERROR(-PPMT($P$67,$W19-$F$16,$F$17,SUM(P$31,P$51)),0)</f>
        <v/>
      </c>
      <c r="BY19" s="355" t="n"/>
      <c r="CA19" s="0" t="n"/>
    </row>
    <row r="20" ht="15.75" customHeight="1" s="302">
      <c r="C20" s="0" t="inlineStr">
        <is>
          <t>維持管理運営期間開始日</t>
        </is>
      </c>
      <c r="F20" s="137">
        <f>F19+1</f>
        <v/>
      </c>
      <c r="V20" s="58">
        <f>IF(W20=1,DATE(YEAR($F$18)+(MONTH($F$18)&gt;=4),4,0),EOMONTH(V19,12))</f>
        <v/>
      </c>
      <c r="W20" s="26" t="n">
        <v>4</v>
      </c>
      <c r="X20" s="282">
        <f>IF(W20&gt;$O$16,"-",IF($W20&lt;=$F$16,"整備期間","維持管理・運営期間"))</f>
        <v/>
      </c>
      <c r="Y20" s="344">
        <f>IF($W20=$F$16,$O$61,0)</f>
        <v/>
      </c>
      <c r="Z20" s="345">
        <f>IF($W20=$F$16,$O$63,0)</f>
        <v/>
      </c>
      <c r="AA20" s="345">
        <f>IF($W20=$F$16,$O$62,0)</f>
        <v/>
      </c>
      <c r="AB20" s="345">
        <f>IF(X20="維持管理・運営期間",$F$56,0)</f>
        <v/>
      </c>
      <c r="AC20" s="346">
        <f>SUM(Y20:Z20,AB20)</f>
        <v/>
      </c>
      <c r="AD20" s="344">
        <f>IF($W20=$F$16,$O$30,0)</f>
        <v/>
      </c>
      <c r="AE20" s="345">
        <f>IF($X20="維持管理・運営期間",$O$41,0)</f>
        <v/>
      </c>
      <c r="AF20" s="345">
        <f>IF(AND($W20&gt;0,$W20&lt;=$O$16),$E$45,0)</f>
        <v/>
      </c>
      <c r="AG20" s="345">
        <f>IF(AND(SUM($AA$16:AA19)&gt;0,SUM($AG$16:AG19)&lt;$O$62,$W20&gt;=$O$65),$O$64,0)</f>
        <v/>
      </c>
      <c r="AH20" s="351">
        <f>IF(SUM($AA$17:$AA19)&gt;0,($O$62-SUM($AG$17:$AG19))*$F$65,0)</f>
        <v/>
      </c>
      <c r="AI20" s="346">
        <f>SUM(AD20:AF20)</f>
        <v/>
      </c>
      <c r="AJ20" s="351">
        <f>AC20-AI20</f>
        <v/>
      </c>
      <c r="AK20" s="338">
        <f>(SUM($P$31,$P$51)-SUM($AU$17:AU19))*$O$109</f>
        <v/>
      </c>
      <c r="AL20" s="348" t="n"/>
      <c r="AM20" s="352">
        <f>AJ20*$BF20</f>
        <v/>
      </c>
      <c r="AN20" s="349" t="n"/>
      <c r="AO20" s="350">
        <f>IF($W20=$F$16,$P$61,0)</f>
        <v/>
      </c>
      <c r="AP20" s="351">
        <f>IF($W20=$F$16,$P$63,0)</f>
        <v/>
      </c>
      <c r="AQ20" s="351">
        <f>IF($W20=$F$16,$P$62,0)</f>
        <v/>
      </c>
      <c r="AR20" s="345">
        <f>IF($W20&lt;$O$16,IF(W20=$F$16,$U$92,$U$93),0)</f>
        <v/>
      </c>
      <c r="AS20" s="346">
        <f>SUM(AO20:AP20,AR20)</f>
        <v/>
      </c>
      <c r="AT20" s="345">
        <f>IF(W20=$F$16,$P$30,0)</f>
        <v/>
      </c>
      <c r="AU20" s="345">
        <f>IFERROR(-PPMT($P$36,W20-$F$16,$F$17,SUM(P$31,P$51)),0)</f>
        <v/>
      </c>
      <c r="AV20" s="345">
        <f>IFERROR(-IPMT($P$36,W20-$F$16,$F$17,SUM($P$31,$P$51)),0)</f>
        <v/>
      </c>
      <c r="AW20" s="345">
        <f>IF(AND(W20&gt;$F$16,W20&lt;=SUM($F$16:$F$17)),$P$43,0)</f>
        <v/>
      </c>
      <c r="AX20" s="345">
        <f>IF($W20=1,$F$44,0)+IF(AND($W20&gt;0,$W20&lt;=$O$16),$F$45,0)</f>
        <v/>
      </c>
      <c r="AY20" s="345">
        <f>IF(AND(W20&gt;$F$16,W20&lt;=SUM($F$16:$F$17)),$P$54,0)</f>
        <v/>
      </c>
      <c r="AZ20" s="345">
        <f>IF(AND(SUM($AQ$16:AQ19)&gt;0,SUM($AZ$16:AZ19)&lt;$P$62,$W20&gt;=$P$65),$P$64,0)</f>
        <v/>
      </c>
      <c r="BA20" s="345">
        <f>IF(SUM($AQ$17:$AQ19)&gt;0,($P$62-SUM($AZ$17:$AZ19))*$F$65,0)</f>
        <v/>
      </c>
      <c r="BB20" s="346">
        <f>SUM(AT20:AY20)</f>
        <v/>
      </c>
      <c r="BC20" s="351">
        <f>AS20-BB20</f>
        <v/>
      </c>
      <c r="BD20" s="352">
        <f>BC20*$BF20</f>
        <v/>
      </c>
      <c r="BE20" s="337" t="n"/>
      <c r="BF20" s="46">
        <f>BF19/(1+$O$22)</f>
        <v/>
      </c>
      <c r="BH20" s="350">
        <f>AT20</f>
        <v/>
      </c>
      <c r="BI20" s="350">
        <f>AU20</f>
        <v/>
      </c>
      <c r="BJ20" s="351">
        <f>AV20</f>
        <v/>
      </c>
      <c r="BK20" s="351">
        <f>AW20</f>
        <v/>
      </c>
      <c r="BL20" s="351">
        <f>AY20</f>
        <v/>
      </c>
      <c r="BM20" s="351">
        <f>IF($W20&gt;$F$16,$F$56,0)</f>
        <v/>
      </c>
      <c r="BN20" s="352">
        <f>SUM(BH20:BM20)</f>
        <v/>
      </c>
      <c r="BO20" s="351">
        <f>IF($W20=$F$16,$P$32,0)</f>
        <v/>
      </c>
      <c r="BP20" s="351">
        <f>IF(AND(W20&gt;$F$16,W20&lt;=SUM($F$16:$F$17)),$P$41,0)</f>
        <v/>
      </c>
      <c r="BQ20" s="351">
        <f>IFERROR(-IPMT($P$67,W20-$F$16,$F$17,SUM(P$31,P$51)),0)</f>
        <v/>
      </c>
      <c r="BR20" s="351">
        <f>IF($W20&lt;=$O$16,$F$105,0)</f>
        <v/>
      </c>
      <c r="BS20" s="353">
        <f>IF($W20=1,SUM($O$103,$O$105),0)</f>
        <v/>
      </c>
      <c r="BT20" s="351">
        <f>IF($W20&lt;$O$16,IF(W20=$F$16,$P$93,$P$94),0)</f>
        <v/>
      </c>
      <c r="BU20" s="352">
        <f>SUM(BO20:BP20,BR20:BT20)</f>
        <v/>
      </c>
      <c r="BV20" s="352">
        <f>BN20-BU20</f>
        <v/>
      </c>
      <c r="BW20" s="342" t="n"/>
      <c r="BX20" s="338">
        <f>IFERROR(-PPMT($P$67,$W20-$F$16,$F$17,SUM(P$31,P$51)),0)</f>
        <v/>
      </c>
      <c r="BY20" s="356">
        <f>IF(BV20-BX20&gt;=0,0,1)</f>
        <v/>
      </c>
      <c r="CA20" s="0" t="n"/>
    </row>
    <row r="21" ht="15.75" customHeight="1" s="302">
      <c r="C21" s="0" t="inlineStr">
        <is>
          <t>維持管理運営期間終了日</t>
        </is>
      </c>
      <c r="F21" s="137">
        <f>EOMONTH(F20,12*F17-1)</f>
        <v/>
      </c>
      <c r="V21" s="58">
        <f>IF(W21=1,DATE(YEAR($F$18)+(MONTH($F$18)&gt;=4),4,0),EOMONTH(V20,12))</f>
        <v/>
      </c>
      <c r="W21" s="26" t="n">
        <v>5</v>
      </c>
      <c r="X21" s="282">
        <f>IF(W21&gt;$O$16,"-",IF($W21&lt;=$F$16,"整備期間","維持管理・運営期間"))</f>
        <v/>
      </c>
      <c r="Y21" s="344">
        <f>IF($W21=$F$16,$O$61,0)</f>
        <v/>
      </c>
      <c r="Z21" s="345">
        <f>IF($W21=$F$16,$O$63,0)</f>
        <v/>
      </c>
      <c r="AA21" s="345">
        <f>IF($W21=$F$16,$O$62,0)</f>
        <v/>
      </c>
      <c r="AB21" s="345">
        <f>IF(X21="維持管理・運営期間",$F$56,0)</f>
        <v/>
      </c>
      <c r="AC21" s="346">
        <f>SUM(Y21:Z21,AB21)</f>
        <v/>
      </c>
      <c r="AD21" s="344">
        <f>IF($W21=$F$16,$O$30,0)</f>
        <v/>
      </c>
      <c r="AE21" s="345">
        <f>IF($X21="維持管理・運営期間",$O$41,0)</f>
        <v/>
      </c>
      <c r="AF21" s="345">
        <f>IF(AND($W21&gt;0,$W21&lt;=$O$16),$E$45,0)</f>
        <v/>
      </c>
      <c r="AG21" s="345">
        <f>IF(AND(SUM($AA$16:AA20)&gt;0,SUM($AG$16:AG20)&lt;$O$62,$W21&gt;=$O$65),$O$64,0)</f>
        <v/>
      </c>
      <c r="AH21" s="351">
        <f>IF(SUM($AA$17:$AA20)&gt;0,($O$62-SUM($AG$17:$AG20))*$F$65,0)</f>
        <v/>
      </c>
      <c r="AI21" s="346">
        <f>SUM(AD21:AF21)</f>
        <v/>
      </c>
      <c r="AJ21" s="351">
        <f>AC21-AI21</f>
        <v/>
      </c>
      <c r="AK21" s="338">
        <f>(SUM($P$31,$P$51)-SUM($AU$17:AU20))*$O$109</f>
        <v/>
      </c>
      <c r="AL21" s="348" t="n"/>
      <c r="AM21" s="352">
        <f>AJ21*$BF21</f>
        <v/>
      </c>
      <c r="AN21" s="349" t="n"/>
      <c r="AO21" s="350">
        <f>IF($W21=$F$16,$P$61,0)</f>
        <v/>
      </c>
      <c r="AP21" s="351">
        <f>IF($W21=$F$16,$P$63,0)</f>
        <v/>
      </c>
      <c r="AQ21" s="351">
        <f>IF($W21=$F$16,$P$62,0)</f>
        <v/>
      </c>
      <c r="AR21" s="345">
        <f>IF($W21&lt;$O$16,IF(W21=$F$16,$U$92,$U$93),0)</f>
        <v/>
      </c>
      <c r="AS21" s="346">
        <f>SUM(AO21:AP21,AR21)</f>
        <v/>
      </c>
      <c r="AT21" s="345">
        <f>IF(W21=$F$16,$P$30,0)</f>
        <v/>
      </c>
      <c r="AU21" s="345">
        <f>IFERROR(-PPMT($P$36,W21-$F$16,$F$17,SUM(P$31,P$51)),0)</f>
        <v/>
      </c>
      <c r="AV21" s="345">
        <f>IFERROR(-IPMT($P$36,W21-$F$16,$F$17,SUM($P$31,$P$51)),0)</f>
        <v/>
      </c>
      <c r="AW21" s="345">
        <f>IF(AND(W21&gt;$F$16,W21&lt;=SUM($F$16:$F$17)),$P$43,0)</f>
        <v/>
      </c>
      <c r="AX21" s="345">
        <f>IF($W21=1,$F$44,0)+IF(AND($W21&gt;0,$W21&lt;=$O$16),$F$45,0)</f>
        <v/>
      </c>
      <c r="AY21" s="345">
        <f>IF(AND(W21&gt;$F$16,W21&lt;=SUM($F$16:$F$17)),$P$54,0)</f>
        <v/>
      </c>
      <c r="AZ21" s="345">
        <f>IF(AND(SUM($AQ$16:AQ20)&gt;0,SUM($AZ$16:AZ20)&lt;$P$62,$W21&gt;=$P$65),$P$64,0)</f>
        <v/>
      </c>
      <c r="BA21" s="345">
        <f>IF(SUM($AQ$17:$AQ20)&gt;0,($P$62-SUM($AZ$17:$AZ20))*$F$65,0)</f>
        <v/>
      </c>
      <c r="BB21" s="346">
        <f>SUM(AT21:AY21)</f>
        <v/>
      </c>
      <c r="BC21" s="351">
        <f>AS21-BB21</f>
        <v/>
      </c>
      <c r="BD21" s="352">
        <f>BC21*$BF21</f>
        <v/>
      </c>
      <c r="BE21" s="337" t="n"/>
      <c r="BF21" s="46">
        <f>BF20/(1+$O$22)</f>
        <v/>
      </c>
      <c r="BH21" s="350">
        <f>AT21</f>
        <v/>
      </c>
      <c r="BI21" s="350">
        <f>AU21</f>
        <v/>
      </c>
      <c r="BJ21" s="351">
        <f>AV21</f>
        <v/>
      </c>
      <c r="BK21" s="351">
        <f>AW21</f>
        <v/>
      </c>
      <c r="BL21" s="351">
        <f>AY21</f>
        <v/>
      </c>
      <c r="BM21" s="351">
        <f>IF($W21&gt;$F$16,$F$56,0)</f>
        <v/>
      </c>
      <c r="BN21" s="352">
        <f>SUM(BH21:BM21)</f>
        <v/>
      </c>
      <c r="BO21" s="351">
        <f>IF($W21=$F$16,$P$32,0)</f>
        <v/>
      </c>
      <c r="BP21" s="351">
        <f>IF(AND(W21&gt;$F$16,W21&lt;=SUM($F$16:$F$17)),$P$41,0)</f>
        <v/>
      </c>
      <c r="BQ21" s="351">
        <f>IFERROR(-IPMT($P$67,W21-$F$16,$F$17,SUM(P$31,P$51)),0)</f>
        <v/>
      </c>
      <c r="BR21" s="351">
        <f>IF($W21&lt;=$O$16,$F$105,0)</f>
        <v/>
      </c>
      <c r="BS21" s="353">
        <f>IF($W21=1,SUM($O$103,$O$105),0)</f>
        <v/>
      </c>
      <c r="BT21" s="351">
        <f>IF($W21&lt;$O$16,IF(W21=$F$16,$P$93,$P$94),0)</f>
        <v/>
      </c>
      <c r="BU21" s="352">
        <f>SUM(BO21:BP21,BR21:BT21)</f>
        <v/>
      </c>
      <c r="BV21" s="352">
        <f>BN21-BU21</f>
        <v/>
      </c>
      <c r="BW21" s="342" t="n"/>
      <c r="BX21" s="338">
        <f>IFERROR(-PPMT($P$67,$W21-$F$16,$F$17,SUM(P$31,P$51)),0)</f>
        <v/>
      </c>
      <c r="BY21" s="356">
        <f>IF(BV21-BX21&gt;=0,0,1)</f>
        <v/>
      </c>
      <c r="CA21" s="0" t="n"/>
    </row>
    <row r="22" ht="15.75" customHeight="1" s="302">
      <c r="B22" s="56" t="inlineStr">
        <is>
          <t>1.4割引率</t>
        </is>
      </c>
      <c r="C22" s="19" t="n"/>
      <c r="I22" s="72" t="n"/>
      <c r="J22" s="4" t="inlineStr">
        <is>
          <t>1.4割引率</t>
        </is>
      </c>
      <c r="N22" s="19" t="inlineStr">
        <is>
          <t>％</t>
        </is>
      </c>
      <c r="O22" s="36">
        <f>SUM(F23:F24)</f>
        <v/>
      </c>
      <c r="V22" s="58">
        <f>IF(W22=1,DATE(YEAR($F$18)+(MONTH($F$18)&gt;=4),4,0),EOMONTH(V21,12))</f>
        <v/>
      </c>
      <c r="W22" s="26" t="n">
        <v>6</v>
      </c>
      <c r="X22" s="282">
        <f>IF(W22&gt;$O$16,"-",IF($W22&lt;=$F$16,"整備期間","維持管理・運営期間"))</f>
        <v/>
      </c>
      <c r="Y22" s="344">
        <f>IF($W22=$F$16,$O$61,0)</f>
        <v/>
      </c>
      <c r="Z22" s="345">
        <f>IF($W22=$F$16,$O$63,0)</f>
        <v/>
      </c>
      <c r="AA22" s="345">
        <f>IF($W22=$F$16,$O$62,0)</f>
        <v/>
      </c>
      <c r="AB22" s="345">
        <f>IF(X22="維持管理・運営期間",$F$56,0)</f>
        <v/>
      </c>
      <c r="AC22" s="346">
        <f>SUM(Y22:Z22,AB22)</f>
        <v/>
      </c>
      <c r="AD22" s="344">
        <f>IF($W22=$F$16,$O$30,0)</f>
        <v/>
      </c>
      <c r="AE22" s="345">
        <f>IF($X22="維持管理・運営期間",$O$41,0)</f>
        <v/>
      </c>
      <c r="AF22" s="345">
        <f>IF(AND($W22&gt;0,$W22&lt;=$O$16),$E$45,0)</f>
        <v/>
      </c>
      <c r="AG22" s="345">
        <f>IF(AND(SUM($AA$16:AA21)&gt;0,SUM($AG$16:AG21)&lt;$O$62,$W22&gt;=$O$65),$O$64,0)</f>
        <v/>
      </c>
      <c r="AH22" s="351">
        <f>IF(SUM($AA$17:$AA21)&gt;0,($O$62-SUM($AG$17:$AG21))*$F$65,0)</f>
        <v/>
      </c>
      <c r="AI22" s="346">
        <f>SUM(AD22:AF22)</f>
        <v/>
      </c>
      <c r="AJ22" s="351">
        <f>AC22-AI22</f>
        <v/>
      </c>
      <c r="AK22" s="338">
        <f>(SUM($P$31,$P$51)-SUM($AU$17:AU21))*$O$109</f>
        <v/>
      </c>
      <c r="AL22" s="348" t="n"/>
      <c r="AM22" s="352">
        <f>AJ22*$BF22</f>
        <v/>
      </c>
      <c r="AN22" s="349" t="n"/>
      <c r="AO22" s="350">
        <f>IF($W22=$F$16,$P$61,0)</f>
        <v/>
      </c>
      <c r="AP22" s="351">
        <f>IF($W22=$F$16,$P$63,0)</f>
        <v/>
      </c>
      <c r="AQ22" s="351">
        <f>IF($W22=$F$16,$P$62,0)</f>
        <v/>
      </c>
      <c r="AR22" s="345">
        <f>IF($W22&lt;$O$16,IF(W22=$F$16,$U$92,$U$93),0)</f>
        <v/>
      </c>
      <c r="AS22" s="346">
        <f>SUM(AO22:AP22,AR22)</f>
        <v/>
      </c>
      <c r="AT22" s="345">
        <f>IF(W22=$F$16,$P$30,0)</f>
        <v/>
      </c>
      <c r="AU22" s="345">
        <f>IFERROR(-PPMT($P$36,W22-$F$16,$F$17,SUM(P$31,P$51)),0)</f>
        <v/>
      </c>
      <c r="AV22" s="345">
        <f>IFERROR(-IPMT($P$36,W22-$F$16,$F$17,SUM($P$31,$P$51)),0)</f>
        <v/>
      </c>
      <c r="AW22" s="345">
        <f>IF(AND(W22&gt;$F$16,W22&lt;=SUM($F$16:$F$17)),$P$43,0)</f>
        <v/>
      </c>
      <c r="AX22" s="345">
        <f>IF($W22=1,$F$44,0)+IF(AND($W22&gt;0,$W22&lt;=$O$16),$F$45,0)</f>
        <v/>
      </c>
      <c r="AY22" s="345">
        <f>IF(AND(W22&gt;$F$16,W22&lt;=SUM($F$16:$F$17)),$P$54,0)</f>
        <v/>
      </c>
      <c r="AZ22" s="345">
        <f>IF(AND(SUM($AQ$16:AQ21)&gt;0,SUM($AZ$16:AZ21)&lt;$P$62,$W22&gt;=$P$65),$P$64,0)</f>
        <v/>
      </c>
      <c r="BA22" s="345">
        <f>IF(SUM($AQ$17:$AQ21)&gt;0,($P$62-SUM($AZ$17:$AZ21))*$F$65,0)</f>
        <v/>
      </c>
      <c r="BB22" s="346">
        <f>SUM(AT22:AY22)</f>
        <v/>
      </c>
      <c r="BC22" s="351">
        <f>AS22-BB22</f>
        <v/>
      </c>
      <c r="BD22" s="352">
        <f>BC22*$BF22</f>
        <v/>
      </c>
      <c r="BE22" s="337" t="n"/>
      <c r="BF22" s="46">
        <f>BF21/(1+$O$22)</f>
        <v/>
      </c>
      <c r="BH22" s="350">
        <f>AT22</f>
        <v/>
      </c>
      <c r="BI22" s="350">
        <f>AU22</f>
        <v/>
      </c>
      <c r="BJ22" s="351">
        <f>AV22</f>
        <v/>
      </c>
      <c r="BK22" s="351">
        <f>AW22</f>
        <v/>
      </c>
      <c r="BL22" s="351">
        <f>AY22</f>
        <v/>
      </c>
      <c r="BM22" s="351">
        <f>IF($W22&gt;$F$16,$F$56,0)</f>
        <v/>
      </c>
      <c r="BN22" s="352">
        <f>SUM(BH22:BM22)</f>
        <v/>
      </c>
      <c r="BO22" s="351">
        <f>IF($W22=$F$16,$P$32,0)</f>
        <v/>
      </c>
      <c r="BP22" s="351">
        <f>IF(AND(W22&gt;$F$16,W22&lt;=SUM($F$16:$F$17)),$P$41,0)</f>
        <v/>
      </c>
      <c r="BQ22" s="351">
        <f>IFERROR(-IPMT($P$67,W22-$F$16,$F$17,SUM(P$31,P$51)),0)</f>
        <v/>
      </c>
      <c r="BR22" s="351">
        <f>IF($W22&lt;=$O$16,$F$105,0)</f>
        <v/>
      </c>
      <c r="BS22" s="353">
        <f>IF($W22=1,SUM($O$103,$O$105),0)</f>
        <v/>
      </c>
      <c r="BT22" s="351">
        <f>IF($W22&lt;$O$16,IF(W22=$F$16,$P$93,$P$94),0)</f>
        <v/>
      </c>
      <c r="BU22" s="352">
        <f>SUM(BO22:BP22,BR22:BT22)</f>
        <v/>
      </c>
      <c r="BV22" s="352">
        <f>BN22-BU22</f>
        <v/>
      </c>
      <c r="BW22" s="342" t="n"/>
      <c r="BX22" s="338">
        <f>IFERROR(-PPMT($P$67,$W22-$F$16,$F$17,SUM(P$31,P$51)),0)</f>
        <v/>
      </c>
      <c r="BY22" s="356">
        <f>IF(BV22-BX22&gt;=0,0,1)</f>
        <v/>
      </c>
      <c r="CA22" s="0" t="n"/>
    </row>
    <row r="23" ht="15.75" customHeight="1" s="302">
      <c r="C23" s="0" t="inlineStr">
        <is>
          <t>リスクフリーレート</t>
        </is>
      </c>
      <c r="F23" s="15" t="n">
        <v>0.0145</v>
      </c>
      <c r="H23" s="0" t="inlineStr">
        <is>
          <t>20年国債利回り</t>
        </is>
      </c>
      <c r="V23" s="58">
        <f>IF(W23=1,DATE(YEAR($F$18)+(MONTH($F$18)&gt;=4),4,0),EOMONTH(V22,12))</f>
        <v/>
      </c>
      <c r="W23" s="26" t="n">
        <v>7</v>
      </c>
      <c r="X23" s="282">
        <f>IF(W23&gt;$O$16,"-",IF($W23&lt;=$F$16,"整備期間","維持管理・運営期間"))</f>
        <v/>
      </c>
      <c r="Y23" s="344">
        <f>IF($W23=$F$16,$O$61,0)</f>
        <v/>
      </c>
      <c r="Z23" s="345">
        <f>IF($W23=$F$16,$O$63,0)</f>
        <v/>
      </c>
      <c r="AA23" s="345">
        <f>IF($W23=$F$16,$O$62,0)</f>
        <v/>
      </c>
      <c r="AB23" s="345">
        <f>IF(X23="維持管理・運営期間",$F$56,0)</f>
        <v/>
      </c>
      <c r="AC23" s="346">
        <f>SUM(Y23:Z23,AB23)</f>
        <v/>
      </c>
      <c r="AD23" s="344">
        <f>IF($W23=$F$16,$O$30,0)</f>
        <v/>
      </c>
      <c r="AE23" s="345">
        <f>IF($X23="維持管理・運営期間",$O$41,0)</f>
        <v/>
      </c>
      <c r="AF23" s="345">
        <f>IF(AND($W23&gt;0,$W23&lt;=$O$16),$E$45,0)</f>
        <v/>
      </c>
      <c r="AG23" s="345">
        <f>IF(AND(SUM($AA$16:AA22)&gt;0,SUM($AG$16:AG22)&lt;$O$62,$W23&gt;=$O$65),$O$64,0)</f>
        <v/>
      </c>
      <c r="AH23" s="351">
        <f>IF(SUM($AA$17:$AA22)&gt;0,($O$62-SUM($AG$17:$AG22))*$F$65,0)</f>
        <v/>
      </c>
      <c r="AI23" s="346">
        <f>SUM(AD23:AF23)</f>
        <v/>
      </c>
      <c r="AJ23" s="351">
        <f>AC23-AI23</f>
        <v/>
      </c>
      <c r="AK23" s="338">
        <f>(SUM($P$31,$P$51)-SUM($AU$17:AU22))*$O$109</f>
        <v/>
      </c>
      <c r="AL23" s="348" t="n"/>
      <c r="AM23" s="352">
        <f>AJ23*$BF23</f>
        <v/>
      </c>
      <c r="AN23" s="349" t="n"/>
      <c r="AO23" s="350">
        <f>IF($W23=$F$16,$P$61,0)</f>
        <v/>
      </c>
      <c r="AP23" s="351">
        <f>IF($W23=$F$16,$P$63,0)</f>
        <v/>
      </c>
      <c r="AQ23" s="351">
        <f>IF($W23=$F$16,$P$62,0)</f>
        <v/>
      </c>
      <c r="AR23" s="345">
        <f>IF($W23&lt;$O$16,IF(W23=$F$16,$U$92,$U$93),0)</f>
        <v/>
      </c>
      <c r="AS23" s="346">
        <f>SUM(AO23:AP23,AR23)</f>
        <v/>
      </c>
      <c r="AT23" s="345">
        <f>IF(W23=$F$16,$P$30,0)</f>
        <v/>
      </c>
      <c r="AU23" s="345">
        <f>IFERROR(-PPMT($P$36,W23-$F$16,$F$17,SUM(P$31,P$51)),0)</f>
        <v/>
      </c>
      <c r="AV23" s="345">
        <f>IFERROR(-IPMT($P$36,W23-$F$16,$F$17,SUM($P$31,$P$51)),0)</f>
        <v/>
      </c>
      <c r="AW23" s="345">
        <f>IF(AND(W23&gt;$F$16,W23&lt;=SUM($F$16:$F$17)),$P$43,0)</f>
        <v/>
      </c>
      <c r="AX23" s="345">
        <f>IF($W23=1,$F$44,0)+IF(AND($W23&gt;0,$W23&lt;=$O$16),$F$45,0)</f>
        <v/>
      </c>
      <c r="AY23" s="345">
        <f>IF(AND(W23&gt;$F$16,W23&lt;=SUM($F$16:$F$17)),$P$54,0)</f>
        <v/>
      </c>
      <c r="AZ23" s="345">
        <f>IF(AND(SUM($AQ$16:AQ22)&gt;0,SUM($AZ$16:AZ22)&lt;$P$62,$W23&gt;=$P$65),$P$64,0)</f>
        <v/>
      </c>
      <c r="BA23" s="345">
        <f>IF(SUM($AQ$17:$AQ22)&gt;0,($P$62-SUM($AZ$17:$AZ22))*$F$65,0)</f>
        <v/>
      </c>
      <c r="BB23" s="346">
        <f>SUM(AT23:AY23)</f>
        <v/>
      </c>
      <c r="BC23" s="351">
        <f>AS23-BB23</f>
        <v/>
      </c>
      <c r="BD23" s="352">
        <f>BC23*$BF23</f>
        <v/>
      </c>
      <c r="BE23" s="337" t="n"/>
      <c r="BF23" s="46">
        <f>BF22/(1+$O$22)</f>
        <v/>
      </c>
      <c r="BH23" s="350">
        <f>AT23</f>
        <v/>
      </c>
      <c r="BI23" s="350">
        <f>AU23</f>
        <v/>
      </c>
      <c r="BJ23" s="351">
        <f>AV23</f>
        <v/>
      </c>
      <c r="BK23" s="351">
        <f>AW23</f>
        <v/>
      </c>
      <c r="BL23" s="351">
        <f>AY23</f>
        <v/>
      </c>
      <c r="BM23" s="351">
        <f>IF($W23&gt;$F$16,$F$56,0)</f>
        <v/>
      </c>
      <c r="BN23" s="352">
        <f>SUM(BH23:BM23)</f>
        <v/>
      </c>
      <c r="BO23" s="351">
        <f>IF($W23=$F$16,$P$32,0)</f>
        <v/>
      </c>
      <c r="BP23" s="351">
        <f>IF(AND(W23&gt;$F$16,W23&lt;=SUM($F$16:$F$17)),$P$41,0)</f>
        <v/>
      </c>
      <c r="BQ23" s="351">
        <f>IFERROR(-IPMT($P$67,W23-$F$16,$F$17,SUM(P$31,P$51)),0)</f>
        <v/>
      </c>
      <c r="BR23" s="351">
        <f>IF($W23&lt;=$O$16,$F$105,0)</f>
        <v/>
      </c>
      <c r="BS23" s="353">
        <f>IF($W23=1,SUM($O$103,$O$105),0)</f>
        <v/>
      </c>
      <c r="BT23" s="351">
        <f>IF($W23&lt;$O$16,IF(W23=$F$16,$P$93,$P$94),0)</f>
        <v/>
      </c>
      <c r="BU23" s="352">
        <f>SUM(BO23:BP23,BR23:BT23)</f>
        <v/>
      </c>
      <c r="BV23" s="352">
        <f>BN23-BU23</f>
        <v/>
      </c>
      <c r="BW23" s="342" t="n"/>
      <c r="BX23" s="338">
        <f>IFERROR(-PPMT($P$67,$W23-$F$16,$F$17,SUM(P$31,P$51)),0)</f>
        <v/>
      </c>
      <c r="BY23" s="356">
        <f>IF(BV23-BX23&gt;=0,0,1)</f>
        <v/>
      </c>
      <c r="CA23" s="0" t="n"/>
    </row>
    <row r="24" ht="15.75" customHeight="1" s="302">
      <c r="C24" s="0" t="inlineStr">
        <is>
          <t>物価上昇率</t>
        </is>
      </c>
      <c r="F24" s="357">
        <f>事業費用概算!J34</f>
        <v/>
      </c>
      <c r="V24" s="58">
        <f>IF(W24=1,DATE(YEAR($F$18)+(MONTH($F$18)&gt;=4),4,0),EOMONTH(V23,12))</f>
        <v/>
      </c>
      <c r="W24" s="26" t="n">
        <v>8</v>
      </c>
      <c r="X24" s="282">
        <f>IF(W24&gt;$O$16,"-",IF($W24&lt;=$F$16,"整備期間","維持管理・運営期間"))</f>
        <v/>
      </c>
      <c r="Y24" s="344">
        <f>IF($W24=$F$16,$O$61,0)</f>
        <v/>
      </c>
      <c r="Z24" s="345">
        <f>IF($W24=$F$16,$O$63,0)</f>
        <v/>
      </c>
      <c r="AA24" s="345">
        <f>IF($W24=$F$16,$O$62,0)</f>
        <v/>
      </c>
      <c r="AB24" s="345">
        <f>IF(X24="維持管理・運営期間",$F$56,0)</f>
        <v/>
      </c>
      <c r="AC24" s="346">
        <f>SUM(Y24:Z24,AB24)</f>
        <v/>
      </c>
      <c r="AD24" s="344">
        <f>IF($W24=$F$16,$O$30,0)</f>
        <v/>
      </c>
      <c r="AE24" s="345">
        <f>IF($X24="維持管理・運営期間",$O$41,0)</f>
        <v/>
      </c>
      <c r="AF24" s="345">
        <f>IF(AND($W24&gt;0,$W24&lt;=$O$16),$E$45,0)</f>
        <v/>
      </c>
      <c r="AG24" s="345">
        <f>IF(AND(SUM($AA$16:AA23)&gt;0,SUM($AG$16:AG23)&lt;$O$62,$W24&gt;=$O$65),$O$64,0)</f>
        <v/>
      </c>
      <c r="AH24" s="351">
        <f>IF(SUM($AA$17:$AA23)&gt;0,($O$62-SUM($AG$17:$AG23))*$F$65,0)</f>
        <v/>
      </c>
      <c r="AI24" s="346">
        <f>SUM(AD24:AF24)</f>
        <v/>
      </c>
      <c r="AJ24" s="351">
        <f>AC24-AI24</f>
        <v/>
      </c>
      <c r="AK24" s="338">
        <f>(SUM($P$31,$P$51)-SUM($AU$17:AU23))*$O$109</f>
        <v/>
      </c>
      <c r="AL24" s="348" t="n"/>
      <c r="AM24" s="352">
        <f>AJ24*$BF24</f>
        <v/>
      </c>
      <c r="AN24" s="349" t="n"/>
      <c r="AO24" s="350">
        <f>IF($W24=$F$16,$P$61,0)</f>
        <v/>
      </c>
      <c r="AP24" s="351">
        <f>IF($W24=$F$16,$P$63,0)</f>
        <v/>
      </c>
      <c r="AQ24" s="351">
        <f>IF($W24=$F$16,$P$62,0)</f>
        <v/>
      </c>
      <c r="AR24" s="345">
        <f>IF($W24&lt;$O$16,IF(W24=$F$16,$U$92,$U$93),0)</f>
        <v/>
      </c>
      <c r="AS24" s="346">
        <f>SUM(AO24:AP24,AR24)</f>
        <v/>
      </c>
      <c r="AT24" s="345">
        <f>IF(W24=$F$16,$P$30,0)</f>
        <v/>
      </c>
      <c r="AU24" s="345">
        <f>IFERROR(-PPMT($P$36,W24-$F$16,$F$17,SUM(P$31,P$51)),0)</f>
        <v/>
      </c>
      <c r="AV24" s="345">
        <f>IFERROR(-IPMT($P$36,W24-$F$16,$F$17,SUM($P$31,$P$51)),0)</f>
        <v/>
      </c>
      <c r="AW24" s="345">
        <f>IF(AND(W24&gt;$F$16,W24&lt;=SUM($F$16:$F$17)),$P$43,0)</f>
        <v/>
      </c>
      <c r="AX24" s="345">
        <f>IF($W24=1,$F$44,0)+IF(AND($W24&gt;0,$W24&lt;=$O$16),$F$45,0)</f>
        <v/>
      </c>
      <c r="AY24" s="345">
        <f>IF(AND(W24&gt;$F$16,W24&lt;=SUM($F$16:$F$17)),$P$54,0)</f>
        <v/>
      </c>
      <c r="AZ24" s="345">
        <f>IF(AND(SUM($AQ$16:AQ23)&gt;0,SUM($AZ$16:AZ23)&lt;$P$62,$W24&gt;=$P$65),$P$64,0)</f>
        <v/>
      </c>
      <c r="BA24" s="345">
        <f>IF(SUM($AQ$17:$AQ23)&gt;0,($P$62-SUM($AZ$17:$AZ23))*$F$65,0)</f>
        <v/>
      </c>
      <c r="BB24" s="346">
        <f>SUM(AT24:AY24)</f>
        <v/>
      </c>
      <c r="BC24" s="351">
        <f>AS24-BB24</f>
        <v/>
      </c>
      <c r="BD24" s="352">
        <f>BC24*$BF24</f>
        <v/>
      </c>
      <c r="BE24" s="337" t="n"/>
      <c r="BF24" s="46">
        <f>BF23/(1+$O$22)</f>
        <v/>
      </c>
      <c r="BH24" s="350">
        <f>AT24</f>
        <v/>
      </c>
      <c r="BI24" s="350">
        <f>AU24</f>
        <v/>
      </c>
      <c r="BJ24" s="351">
        <f>AV24</f>
        <v/>
      </c>
      <c r="BK24" s="351">
        <f>AW24</f>
        <v/>
      </c>
      <c r="BL24" s="351">
        <f>AY24</f>
        <v/>
      </c>
      <c r="BM24" s="351">
        <f>IF($W24&gt;$F$16,$F$56,0)</f>
        <v/>
      </c>
      <c r="BN24" s="352">
        <f>SUM(BH24:BM24)</f>
        <v/>
      </c>
      <c r="BO24" s="351">
        <f>IF($W24=$F$16,$P$32,0)</f>
        <v/>
      </c>
      <c r="BP24" s="351">
        <f>IF(AND(W24&gt;$F$16,W24&lt;=SUM($F$16:$F$17)),$P$41,0)</f>
        <v/>
      </c>
      <c r="BQ24" s="351">
        <f>IFERROR(-IPMT($P$67,W24-$F$16,$F$17,SUM(P$31,P$51)),0)</f>
        <v/>
      </c>
      <c r="BR24" s="351">
        <f>IF($W24&lt;=$O$16,$F$105,0)</f>
        <v/>
      </c>
      <c r="BS24" s="353">
        <f>IF($W24=1,SUM($O$103,$O$105),0)</f>
        <v/>
      </c>
      <c r="BT24" s="351">
        <f>IF($W24&lt;$O$16,IF(W24=$F$16,$P$93,$P$94),0)</f>
        <v/>
      </c>
      <c r="BU24" s="352">
        <f>SUM(BO24:BP24,BR24:BT24)</f>
        <v/>
      </c>
      <c r="BV24" s="352">
        <f>BN24-BU24</f>
        <v/>
      </c>
      <c r="BW24" s="342" t="n"/>
      <c r="BX24" s="338">
        <f>IFERROR(-PPMT($P$67,$W24-$F$16,$F$17,SUM(P$31,P$51)),0)</f>
        <v/>
      </c>
      <c r="BY24" s="356">
        <f>IF(BV24-BX24&gt;=0,0,1)</f>
        <v/>
      </c>
      <c r="CA24" s="0" t="n"/>
    </row>
    <row r="25" ht="15.75" customHeight="1" s="302">
      <c r="V25" s="58">
        <f>IF(W25=1,DATE(YEAR($F$18)+(MONTH($F$18)&gt;=4),4,0),EOMONTH(V24,12))</f>
        <v/>
      </c>
      <c r="W25" s="26" t="n">
        <v>9</v>
      </c>
      <c r="X25" s="282">
        <f>IF(W25&gt;$O$16,"-",IF($W25&lt;=$F$16,"整備期間","維持管理・運営期間"))</f>
        <v/>
      </c>
      <c r="Y25" s="344">
        <f>IF($W25=$F$16,$O$61,0)</f>
        <v/>
      </c>
      <c r="Z25" s="345">
        <f>IF($W25=$F$16,$O$63,0)</f>
        <v/>
      </c>
      <c r="AA25" s="345">
        <f>IF($W25=$F$16,$O$62,0)</f>
        <v/>
      </c>
      <c r="AB25" s="345">
        <f>IF(X25="維持管理・運営期間",$F$56,0)</f>
        <v/>
      </c>
      <c r="AC25" s="346">
        <f>SUM(Y25:Z25,AB25)</f>
        <v/>
      </c>
      <c r="AD25" s="344">
        <f>IF($W25=$F$16,$O$30,0)</f>
        <v/>
      </c>
      <c r="AE25" s="345">
        <f>IF($X25="維持管理・運営期間",$O$41,0)</f>
        <v/>
      </c>
      <c r="AF25" s="345">
        <f>IF(AND($W25&gt;0,$W25&lt;=$O$16),$E$45,0)</f>
        <v/>
      </c>
      <c r="AG25" s="345">
        <f>IF(AND(SUM($AA$16:AA24)&gt;0,SUM($AG$16:AG24)&lt;$O$62,$W25&gt;=$O$65),$O$64,0)</f>
        <v/>
      </c>
      <c r="AH25" s="351">
        <f>IF(SUM($AA$17:$AA24)&gt;0,($O$62-SUM($AG$17:$AG24))*$F$65,0)</f>
        <v/>
      </c>
      <c r="AI25" s="346">
        <f>SUM(AD25:AF25)</f>
        <v/>
      </c>
      <c r="AJ25" s="351">
        <f>AC25-AI25</f>
        <v/>
      </c>
      <c r="AK25" s="338">
        <f>(SUM($P$31,$P$51)-SUM($AU$17:AU24))*$O$109</f>
        <v/>
      </c>
      <c r="AL25" s="348" t="n"/>
      <c r="AM25" s="352">
        <f>AJ25*$BF25</f>
        <v/>
      </c>
      <c r="AN25" s="349" t="n"/>
      <c r="AO25" s="350">
        <f>IF($W25=$F$16,$P$61,0)</f>
        <v/>
      </c>
      <c r="AP25" s="351">
        <f>IF($W25=$F$16,$P$63,0)</f>
        <v/>
      </c>
      <c r="AQ25" s="351">
        <f>IF($W25=$F$16,$P$62,0)</f>
        <v/>
      </c>
      <c r="AR25" s="345">
        <f>IF($W25&lt;$O$16,IF(W25=$F$16,$U$92,$U$93),0)</f>
        <v/>
      </c>
      <c r="AS25" s="346">
        <f>SUM(AO25:AP25,AR25)</f>
        <v/>
      </c>
      <c r="AT25" s="345">
        <f>IF(W25=$F$16,$P$30,0)</f>
        <v/>
      </c>
      <c r="AU25" s="345">
        <f>IFERROR(-PPMT($P$36,W25-$F$16,$F$17,SUM(P$31,P$51)),0)</f>
        <v/>
      </c>
      <c r="AV25" s="345">
        <f>IFERROR(-IPMT($P$36,W25-$F$16,$F$17,SUM($P$31,$P$51)),0)</f>
        <v/>
      </c>
      <c r="AW25" s="345">
        <f>IF(AND(W25&gt;$F$16,W25&lt;=SUM($F$16:$F$17)),$P$43,0)</f>
        <v/>
      </c>
      <c r="AX25" s="345">
        <f>IF($W25=1,$F$44,0)+IF(AND($W25&gt;0,$W25&lt;=$O$16),$F$45,0)</f>
        <v/>
      </c>
      <c r="AY25" s="345">
        <f>IF(AND(W25&gt;$F$16,W25&lt;=SUM($F$16:$F$17)),$P$54,0)</f>
        <v/>
      </c>
      <c r="AZ25" s="345">
        <f>IF(AND(SUM($AQ$16:AQ24)&gt;0,SUM($AZ$16:AZ24)&lt;$P$62,$W25&gt;=$P$65),$P$64,0)</f>
        <v/>
      </c>
      <c r="BA25" s="345">
        <f>IF(SUM($AQ$17:$AQ24)&gt;0,($P$62-SUM($AZ$17:$AZ24))*$F$65,0)</f>
        <v/>
      </c>
      <c r="BB25" s="346">
        <f>SUM(AT25:AY25)</f>
        <v/>
      </c>
      <c r="BC25" s="351">
        <f>AS25-BB25</f>
        <v/>
      </c>
      <c r="BD25" s="352">
        <f>BC25*$BF25</f>
        <v/>
      </c>
      <c r="BE25" s="337" t="n"/>
      <c r="BF25" s="46">
        <f>BF24/(1+$O$22)</f>
        <v/>
      </c>
      <c r="BH25" s="350">
        <f>AT25</f>
        <v/>
      </c>
      <c r="BI25" s="350">
        <f>AU25</f>
        <v/>
      </c>
      <c r="BJ25" s="351">
        <f>AV25</f>
        <v/>
      </c>
      <c r="BK25" s="351">
        <f>AW25</f>
        <v/>
      </c>
      <c r="BL25" s="351">
        <f>AY25</f>
        <v/>
      </c>
      <c r="BM25" s="351">
        <f>IF($W25&gt;$F$16,$F$56,0)</f>
        <v/>
      </c>
      <c r="BN25" s="352">
        <f>SUM(BH25:BM25)</f>
        <v/>
      </c>
      <c r="BO25" s="351">
        <f>IF($W25=$F$16,$P$32,0)</f>
        <v/>
      </c>
      <c r="BP25" s="351">
        <f>IF(AND(W25&gt;$F$16,W25&lt;=SUM($F$16:$F$17)),$P$41,0)</f>
        <v/>
      </c>
      <c r="BQ25" s="351">
        <f>IFERROR(-IPMT($P$67,W25-$F$16,$F$17,SUM(P$31,P$51)),0)</f>
        <v/>
      </c>
      <c r="BR25" s="351">
        <f>IF($W25&lt;=$O$16,$F$105,0)</f>
        <v/>
      </c>
      <c r="BS25" s="353">
        <f>IF($W25=1,SUM($O$103,$O$105),0)</f>
        <v/>
      </c>
      <c r="BT25" s="351">
        <f>IF($W25&lt;$O$16,IF(W25=$F$16,$P$93,$P$94),0)</f>
        <v/>
      </c>
      <c r="BU25" s="352">
        <f>SUM(BO25:BP25,BR25:BT25)</f>
        <v/>
      </c>
      <c r="BV25" s="352">
        <f>BN25-BU25</f>
        <v/>
      </c>
      <c r="BW25" s="342" t="n"/>
      <c r="BX25" s="338">
        <f>IFERROR(-PPMT($P$67,$W25-$F$16,$F$17,SUM(P$31,P$51)),0)</f>
        <v/>
      </c>
      <c r="BY25" s="356">
        <f>IF(BV25-BX25&gt;=0,0,1)</f>
        <v/>
      </c>
      <c r="CA25" s="0" t="n"/>
    </row>
    <row r="26" ht="13.5" customHeight="1" s="302">
      <c r="V26" s="58">
        <f>IF(W26=1,DATE(YEAR($F$18)+(MONTH($F$18)&gt;=4),4,0),EOMONTH(V25,12))</f>
        <v/>
      </c>
      <c r="W26" s="26" t="n">
        <v>10</v>
      </c>
      <c r="X26" s="282">
        <f>IF(W26&gt;$O$16,"-",IF($W26&lt;=$F$16,"整備期間","維持管理・運営期間"))</f>
        <v/>
      </c>
      <c r="Y26" s="344">
        <f>IF($W26=$F$16,$O$61,0)</f>
        <v/>
      </c>
      <c r="Z26" s="345">
        <f>IF($W26=$F$16,$O$63,0)</f>
        <v/>
      </c>
      <c r="AA26" s="345">
        <f>IF($W26=$F$16,$O$62,0)</f>
        <v/>
      </c>
      <c r="AB26" s="345">
        <f>IF(X26="維持管理・運営期間",$F$56,0)</f>
        <v/>
      </c>
      <c r="AC26" s="346">
        <f>SUM(Y26:Z26,AB26)</f>
        <v/>
      </c>
      <c r="AD26" s="344">
        <f>IF($W26=$F$16,$O$30,0)</f>
        <v/>
      </c>
      <c r="AE26" s="345">
        <f>IF($X26="維持管理・運営期間",$O$41,0)</f>
        <v/>
      </c>
      <c r="AF26" s="345">
        <f>IF(AND($W26&gt;0,$W26&lt;=$O$16),$E$45,0)</f>
        <v/>
      </c>
      <c r="AG26" s="345">
        <f>IF(AND(SUM($AA$16:AA25)&gt;0,SUM($AG$16:AG25)&lt;$O$62,$W26&gt;=$O$65),$O$64,0)</f>
        <v/>
      </c>
      <c r="AH26" s="351">
        <f>IF(SUM($AA$17:$AA25)&gt;0,($O$62-SUM($AG$17:$AG25))*$F$65,0)</f>
        <v/>
      </c>
      <c r="AI26" s="346">
        <f>SUM(AD26:AF26)</f>
        <v/>
      </c>
      <c r="AJ26" s="351">
        <f>AC26-AI26</f>
        <v/>
      </c>
      <c r="AK26" s="338">
        <f>(SUM($P$31,$P$51)-SUM($AU$17:AU25))*$O$109</f>
        <v/>
      </c>
      <c r="AL26" s="348" t="n"/>
      <c r="AM26" s="352">
        <f>AJ26*$BF26</f>
        <v/>
      </c>
      <c r="AN26" s="349" t="n"/>
      <c r="AO26" s="350">
        <f>IF($W26=$F$16,$P$61,0)</f>
        <v/>
      </c>
      <c r="AP26" s="351">
        <f>IF($W26=$F$16,$P$63,0)</f>
        <v/>
      </c>
      <c r="AQ26" s="351">
        <f>IF($W26=$F$16,$P$62,0)</f>
        <v/>
      </c>
      <c r="AR26" s="345">
        <f>IF($W26&lt;$O$16,IF(W26=$F$16,$U$92,$U$93),0)</f>
        <v/>
      </c>
      <c r="AS26" s="346">
        <f>SUM(AO26:AP26,AR26)</f>
        <v/>
      </c>
      <c r="AT26" s="345">
        <f>IF(W26=$F$16,$P$30,0)</f>
        <v/>
      </c>
      <c r="AU26" s="345">
        <f>IFERROR(-PPMT($P$36,W26-$F$16,$F$17,SUM(P$31,P$51)),0)</f>
        <v/>
      </c>
      <c r="AV26" s="345">
        <f>IFERROR(-IPMT($P$36,W26-$F$16,$F$17,SUM($P$31,$P$51)),0)</f>
        <v/>
      </c>
      <c r="AW26" s="345">
        <f>IF(AND(W26&gt;$F$16,W26&lt;=SUM($F$16:$F$17)),$P$43,0)</f>
        <v/>
      </c>
      <c r="AX26" s="345">
        <f>IF($W26=1,$F$44,0)+IF(AND($W26&gt;0,$W26&lt;=$O$16),$F$45,0)</f>
        <v/>
      </c>
      <c r="AY26" s="345">
        <f>IF(AND(W26&gt;$F$16,W26&lt;=SUM($F$16:$F$17)),$P$54,0)</f>
        <v/>
      </c>
      <c r="AZ26" s="345">
        <f>IF(AND(SUM($AQ$16:AQ25)&gt;0,SUM($AZ$16:AZ25)&lt;$P$62,$W26&gt;=$P$65),$P$64,0)</f>
        <v/>
      </c>
      <c r="BA26" s="345">
        <f>IF(SUM($AQ$17:$AQ25)&gt;0,($P$62-SUM($AZ$17:$AZ25))*$F$65,0)</f>
        <v/>
      </c>
      <c r="BB26" s="346">
        <f>SUM(AT26:AY26)</f>
        <v/>
      </c>
      <c r="BC26" s="351">
        <f>AS26-BB26</f>
        <v/>
      </c>
      <c r="BD26" s="352">
        <f>BC26*$BF26</f>
        <v/>
      </c>
      <c r="BE26" s="337" t="n"/>
      <c r="BF26" s="46">
        <f>BF25/(1+$O$22)</f>
        <v/>
      </c>
      <c r="BH26" s="350">
        <f>AT26</f>
        <v/>
      </c>
      <c r="BI26" s="350">
        <f>AU26</f>
        <v/>
      </c>
      <c r="BJ26" s="351">
        <f>AV26</f>
        <v/>
      </c>
      <c r="BK26" s="351">
        <f>AW26</f>
        <v/>
      </c>
      <c r="BL26" s="351">
        <f>AY26</f>
        <v/>
      </c>
      <c r="BM26" s="351">
        <f>IF($W26&gt;$F$16,$F$56,0)</f>
        <v/>
      </c>
      <c r="BN26" s="352">
        <f>SUM(BH26:BM26)</f>
        <v/>
      </c>
      <c r="BO26" s="351">
        <f>IF($W26=$F$16,$P$32,0)</f>
        <v/>
      </c>
      <c r="BP26" s="351">
        <f>IF(AND(W26&gt;$F$16,W26&lt;=SUM($F$16:$F$17)),$P$41,0)</f>
        <v/>
      </c>
      <c r="BQ26" s="351">
        <f>IFERROR(-IPMT($P$67,W26-$F$16,$F$17,SUM(P$31,P$51)),0)</f>
        <v/>
      </c>
      <c r="BR26" s="351">
        <f>IF($W26&lt;=$O$16,$F$105,0)</f>
        <v/>
      </c>
      <c r="BS26" s="353">
        <f>IF($W26=1,SUM($O$103,$O$105),0)</f>
        <v/>
      </c>
      <c r="BT26" s="351">
        <f>IF($W26&lt;$O$16,IF(W26=$F$16,$P$93,$P$94),0)</f>
        <v/>
      </c>
      <c r="BU26" s="352">
        <f>SUM(BO26:BP26,BR26:BT26)</f>
        <v/>
      </c>
      <c r="BV26" s="352">
        <f>BN26-BU26</f>
        <v/>
      </c>
      <c r="BW26" s="342" t="n"/>
      <c r="BX26" s="338">
        <f>IFERROR(-PPMT($P$67,$W26-$F$16,$F$17,SUM(P$31,P$51)),0)</f>
        <v/>
      </c>
      <c r="BY26" s="356">
        <f>IF(BV26-BX26&gt;=0,0,1)</f>
        <v/>
      </c>
      <c r="CA26" s="0" t="n"/>
    </row>
    <row r="27" ht="15.75" customHeight="1" s="302">
      <c r="A27" s="4" t="inlineStr">
        <is>
          <t>2．事業にかかる費用</t>
        </is>
      </c>
      <c r="H27" s="72" t="n"/>
      <c r="I27" s="72" t="n"/>
      <c r="J27" s="4" t="inlineStr">
        <is>
          <t>２．事業にかかる費用</t>
        </is>
      </c>
      <c r="V27" s="58">
        <f>IF(W27=1,DATE(YEAR($F$18)+(MONTH($F$18)&gt;=4),4,0),EOMONTH(V26,12))</f>
        <v/>
      </c>
      <c r="W27" s="26" t="n">
        <v>11</v>
      </c>
      <c r="X27" s="282">
        <f>IF(W27&gt;$O$16,"-",IF($W27&lt;=$F$16,"整備期間","維持管理・運営期間"))</f>
        <v/>
      </c>
      <c r="Y27" s="344">
        <f>IF($W27=$F$16,$O$61,0)</f>
        <v/>
      </c>
      <c r="Z27" s="345">
        <f>IF($W27=$F$16,$O$63,0)</f>
        <v/>
      </c>
      <c r="AA27" s="345">
        <f>IF($W27=$F$16,$O$62,0)</f>
        <v/>
      </c>
      <c r="AB27" s="345">
        <f>IF(X27="維持管理・運営期間",$F$56,0)</f>
        <v/>
      </c>
      <c r="AC27" s="346">
        <f>SUM(Y27:Z27,AB27)</f>
        <v/>
      </c>
      <c r="AD27" s="344">
        <f>IF($W27=$F$16,$O$30,0)</f>
        <v/>
      </c>
      <c r="AE27" s="345">
        <f>IF($X27="維持管理・運営期間",$O$41,0)</f>
        <v/>
      </c>
      <c r="AF27" s="345">
        <f>IF(AND($W27&gt;0,$W27&lt;=$O$16),$E$45,0)</f>
        <v/>
      </c>
      <c r="AG27" s="345">
        <f>IF(AND(SUM($AA$16:AA26)&gt;0,SUM($AG$16:AG26)&lt;$O$62,$W27&gt;=$O$65),$O$64,0)</f>
        <v/>
      </c>
      <c r="AH27" s="351">
        <f>IF(SUM($AA$17:$AA26)&gt;0,($O$62-SUM($AG$17:$AG26))*$F$65,0)</f>
        <v/>
      </c>
      <c r="AI27" s="346">
        <f>SUM(AD27:AF27)</f>
        <v/>
      </c>
      <c r="AJ27" s="351">
        <f>AC27-AI27</f>
        <v/>
      </c>
      <c r="AK27" s="338">
        <f>(SUM($P$31,$P$51)-SUM($AU$17:AU26))*$O$109</f>
        <v/>
      </c>
      <c r="AL27" s="348" t="n"/>
      <c r="AM27" s="352">
        <f>AJ27*$BF27</f>
        <v/>
      </c>
      <c r="AN27" s="349" t="n"/>
      <c r="AO27" s="350">
        <f>IF($W27=$F$16,$P$61,0)</f>
        <v/>
      </c>
      <c r="AP27" s="351">
        <f>IF($W27=$F$16,$P$63,0)</f>
        <v/>
      </c>
      <c r="AQ27" s="351">
        <f>IF($W27=$F$16,$P$62,0)</f>
        <v/>
      </c>
      <c r="AR27" s="345">
        <f>IF($W27&lt;$O$16,IF(W27=$F$16,$U$92,$U$93),0)</f>
        <v/>
      </c>
      <c r="AS27" s="346">
        <f>SUM(AO27:AP27,AR27)</f>
        <v/>
      </c>
      <c r="AT27" s="345">
        <f>IF(W27=$F$16,$P$30,0)</f>
        <v/>
      </c>
      <c r="AU27" s="345">
        <f>IFERROR(-PPMT($P$36,W27-$F$16,$F$17,SUM(P$31,P$51)),0)</f>
        <v/>
      </c>
      <c r="AV27" s="345">
        <f>IFERROR(-IPMT($P$36,W27-$F$16,$F$17,SUM($P$31,$P$51)),0)</f>
        <v/>
      </c>
      <c r="AW27" s="345">
        <f>IF(AND(W27&gt;$F$16,W27&lt;=SUM($F$16:$F$17)),$P$43,0)</f>
        <v/>
      </c>
      <c r="AX27" s="345">
        <f>IF($W27=1,$F$44,0)+IF(AND($W27&gt;0,$W27&lt;=$O$16),$F$45,0)</f>
        <v/>
      </c>
      <c r="AY27" s="345">
        <f>IF(AND(W27&gt;$F$16,W27&lt;=SUM($F$16:$F$17)),$P$54,0)</f>
        <v/>
      </c>
      <c r="AZ27" s="345">
        <f>IF(AND(SUM($AQ$16:AQ26)&gt;0,SUM($AZ$16:AZ26)&lt;$P$62,$W27&gt;=$P$65),$P$64,0)</f>
        <v/>
      </c>
      <c r="BA27" s="345">
        <f>IF(SUM($AQ$17:$AQ26)&gt;0,($P$62-SUM($AZ$17:$AZ26))*$F$65,0)</f>
        <v/>
      </c>
      <c r="BB27" s="346">
        <f>SUM(AT27:AY27)</f>
        <v/>
      </c>
      <c r="BC27" s="351">
        <f>AS27-BB27</f>
        <v/>
      </c>
      <c r="BD27" s="352">
        <f>BC27*$BF27</f>
        <v/>
      </c>
      <c r="BE27" s="337" t="n"/>
      <c r="BF27" s="46">
        <f>BF26/(1+$O$22)</f>
        <v/>
      </c>
      <c r="BH27" s="350">
        <f>AT27</f>
        <v/>
      </c>
      <c r="BI27" s="350">
        <f>AU27</f>
        <v/>
      </c>
      <c r="BJ27" s="351">
        <f>AV27</f>
        <v/>
      </c>
      <c r="BK27" s="351">
        <f>AW27</f>
        <v/>
      </c>
      <c r="BL27" s="351">
        <f>AY27</f>
        <v/>
      </c>
      <c r="BM27" s="351">
        <f>IF($W27&gt;$F$16,$F$56,0)</f>
        <v/>
      </c>
      <c r="BN27" s="352">
        <f>SUM(BH27:BM27)</f>
        <v/>
      </c>
      <c r="BO27" s="351">
        <f>IF($W27=$F$16,$P$32,0)</f>
        <v/>
      </c>
      <c r="BP27" s="351">
        <f>IF(AND(W27&gt;$F$16,W27&lt;=SUM($F$16:$F$17)),$P$41,0)</f>
        <v/>
      </c>
      <c r="BQ27" s="351">
        <f>IFERROR(-IPMT($P$67,W27-$F$16,$F$17,SUM(P$31,P$51)),0)</f>
        <v/>
      </c>
      <c r="BR27" s="351">
        <f>IF($W27&lt;=$O$16,$F$105,0)</f>
        <v/>
      </c>
      <c r="BS27" s="353">
        <f>IF($W27=1,SUM($O$103,$O$105),0)</f>
        <v/>
      </c>
      <c r="BT27" s="351">
        <f>IF($W27&lt;$O$16,IF(W27=$F$16,$P$93,$P$94),0)</f>
        <v/>
      </c>
      <c r="BU27" s="352">
        <f>SUM(BO27:BP27,BR27:BT27)</f>
        <v/>
      </c>
      <c r="BV27" s="352">
        <f>BN27-BU27</f>
        <v/>
      </c>
      <c r="BW27" s="342" t="n"/>
      <c r="BX27" s="338">
        <f>IFERROR(-PPMT($P$67,$W27-$F$16,$F$17,SUM(P$31,P$51)),0)</f>
        <v/>
      </c>
      <c r="BY27" s="356">
        <f>IF(BV27-BX27&gt;=0,0,1)</f>
        <v/>
      </c>
      <c r="CA27" s="0" t="n"/>
    </row>
    <row r="28" ht="15.75" customHeight="1" s="302">
      <c r="B28" s="0" t="inlineStr">
        <is>
          <t>2.1施設整備費用</t>
        </is>
      </c>
      <c r="D28" s="0" t="inlineStr">
        <is>
          <t>百万円</t>
        </is>
      </c>
      <c r="F28" s="358">
        <f>SUM(F29:F30)</f>
        <v/>
      </c>
      <c r="J28" s="4" t="inlineStr">
        <is>
          <t>2.1 施設整備費用</t>
        </is>
      </c>
      <c r="O28" s="0" t="inlineStr">
        <is>
          <t>PSC</t>
        </is>
      </c>
      <c r="P28" s="0" t="inlineStr">
        <is>
          <t>PFI-LCC</t>
        </is>
      </c>
      <c r="V28" s="58">
        <f>IF(W28=1,DATE(YEAR($F$18)+(MONTH($F$18)&gt;=4),4,0),EOMONTH(V27,12))</f>
        <v/>
      </c>
      <c r="W28" s="26" t="n">
        <v>12</v>
      </c>
      <c r="X28" s="282">
        <f>IF(W28&gt;$O$16,"-",IF($W28&lt;=$F$16,"整備期間","維持管理・運営期間"))</f>
        <v/>
      </c>
      <c r="Y28" s="344">
        <f>IF($W28=$F$16,$O$61,0)</f>
        <v/>
      </c>
      <c r="Z28" s="345">
        <f>IF($W28=$F$16,$O$63,0)</f>
        <v/>
      </c>
      <c r="AA28" s="345">
        <f>IF($W28=$F$16,$O$62,0)</f>
        <v/>
      </c>
      <c r="AB28" s="345">
        <f>IF(X28="維持管理・運営期間",$F$56,0)</f>
        <v/>
      </c>
      <c r="AC28" s="346">
        <f>SUM(Y28:Z28,AB28)</f>
        <v/>
      </c>
      <c r="AD28" s="344">
        <f>IF($W28=$F$16,$O$30,0)</f>
        <v/>
      </c>
      <c r="AE28" s="345">
        <f>IF($X28="維持管理・運営期間",$O$41,0)</f>
        <v/>
      </c>
      <c r="AF28" s="345">
        <f>IF(AND($W28&gt;0,$W28&lt;=$O$16),$E$45,0)</f>
        <v/>
      </c>
      <c r="AG28" s="345">
        <f>IF(AND(SUM($AA$16:AA27)&gt;0,SUM($AG$16:AG27)&lt;$O$62,$W28&gt;=$O$65),$O$64,0)</f>
        <v/>
      </c>
      <c r="AH28" s="351">
        <f>IF(SUM($AA$17:$AA27)&gt;0,($O$62-SUM($AG$17:$AG27))*$F$65,0)</f>
        <v/>
      </c>
      <c r="AI28" s="346">
        <f>SUM(AD28:AF28)</f>
        <v/>
      </c>
      <c r="AJ28" s="351">
        <f>AC28-AI28</f>
        <v/>
      </c>
      <c r="AK28" s="338">
        <f>(SUM($P$31,$P$51)-SUM($AU$17:AU27))*$O$109</f>
        <v/>
      </c>
      <c r="AL28" s="348" t="n"/>
      <c r="AM28" s="352">
        <f>AJ28*$BF28</f>
        <v/>
      </c>
      <c r="AN28" s="349" t="n"/>
      <c r="AO28" s="350">
        <f>IF($W28=$F$16,$P$61,0)</f>
        <v/>
      </c>
      <c r="AP28" s="351">
        <f>IF($W28=$F$16,$P$63,0)</f>
        <v/>
      </c>
      <c r="AQ28" s="351">
        <f>IF($W28=$F$16,$P$62,0)</f>
        <v/>
      </c>
      <c r="AR28" s="345">
        <f>IF($W28&lt;$O$16,IF(W28=$F$16,$U$92,$U$93),0)</f>
        <v/>
      </c>
      <c r="AS28" s="346">
        <f>SUM(AO28:AP28,AR28)</f>
        <v/>
      </c>
      <c r="AT28" s="345">
        <f>IF(W28=$F$16,$P$30,0)</f>
        <v/>
      </c>
      <c r="AU28" s="345">
        <f>IFERROR(-PPMT($P$36,W28-$F$16,$F$17,SUM(P$31,P$51)),0)</f>
        <v/>
      </c>
      <c r="AV28" s="345">
        <f>IFERROR(-IPMT($P$36,W28-$F$16,$F$17,SUM($P$31,$P$51)),0)</f>
        <v/>
      </c>
      <c r="AW28" s="345">
        <f>IF(AND(W28&gt;$F$16,W28&lt;=SUM($F$16:$F$17)),$P$43,0)</f>
        <v/>
      </c>
      <c r="AX28" s="345">
        <f>IF($W28=1,$F$44,0)+IF(AND($W28&gt;0,$W28&lt;=$O$16),$F$45,0)</f>
        <v/>
      </c>
      <c r="AY28" s="345">
        <f>IF(AND(W28&gt;$F$16,W28&lt;=SUM($F$16:$F$17)),$P$54,0)</f>
        <v/>
      </c>
      <c r="AZ28" s="345">
        <f>IF(AND(SUM($AQ$16:AQ27)&gt;0,SUM($AZ$16:AZ27)&lt;$P$62,$W28&gt;=$P$65),$P$64,0)</f>
        <v/>
      </c>
      <c r="BA28" s="345">
        <f>IF(SUM($AQ$17:$AQ27)&gt;0,($P$62-SUM($AZ$17:$AZ27))*$F$65,0)</f>
        <v/>
      </c>
      <c r="BB28" s="346">
        <f>SUM(AT28:AY28)</f>
        <v/>
      </c>
      <c r="BC28" s="351">
        <f>AS28-BB28</f>
        <v/>
      </c>
      <c r="BD28" s="352">
        <f>BC28*$BF28</f>
        <v/>
      </c>
      <c r="BE28" s="337" t="n"/>
      <c r="BF28" s="46">
        <f>BF27/(1+$O$22)</f>
        <v/>
      </c>
      <c r="BH28" s="350">
        <f>AT28</f>
        <v/>
      </c>
      <c r="BI28" s="350">
        <f>AU28</f>
        <v/>
      </c>
      <c r="BJ28" s="351">
        <f>AV28</f>
        <v/>
      </c>
      <c r="BK28" s="351">
        <f>AW28</f>
        <v/>
      </c>
      <c r="BL28" s="351">
        <f>AY28</f>
        <v/>
      </c>
      <c r="BM28" s="351">
        <f>IF($W28&gt;$F$16,$F$56,0)</f>
        <v/>
      </c>
      <c r="BN28" s="352">
        <f>SUM(BH28:BM28)</f>
        <v/>
      </c>
      <c r="BO28" s="351">
        <f>IF($W28=$F$16,$P$32,0)</f>
        <v/>
      </c>
      <c r="BP28" s="351">
        <f>IF(AND(W28&gt;$F$16,W28&lt;=SUM($F$16:$F$17)),$P$41,0)</f>
        <v/>
      </c>
      <c r="BQ28" s="351">
        <f>IFERROR(-IPMT($P$67,W28-$F$16,$F$17,SUM(P$31,P$51)),0)</f>
        <v/>
      </c>
      <c r="BR28" s="351">
        <f>IF($W28&lt;=$O$16,$F$105,0)</f>
        <v/>
      </c>
      <c r="BS28" s="353">
        <f>IF($W28=1,SUM($O$103,$O$105),0)</f>
        <v/>
      </c>
      <c r="BT28" s="351">
        <f>IF($W28&lt;$O$16,IF(W28=$F$16,$P$93,$P$94),0)</f>
        <v/>
      </c>
      <c r="BU28" s="352">
        <f>SUM(BO28:BP28,BR28:BT28)</f>
        <v/>
      </c>
      <c r="BV28" s="352">
        <f>BN28-BU28</f>
        <v/>
      </c>
      <c r="BW28" s="342" t="n"/>
      <c r="BX28" s="338">
        <f>IFERROR(-PPMT($P$67,$W28-$F$16,$F$17,SUM(P$31,P$51)),0)</f>
        <v/>
      </c>
      <c r="BY28" s="356">
        <f>IF(BV28-BX28&gt;=0,0,1)</f>
        <v/>
      </c>
      <c r="CA28" s="0" t="n"/>
    </row>
    <row r="29" ht="15.75" customHeight="1" s="302">
      <c r="C29" s="2" t="inlineStr">
        <is>
          <t>うち、過去の落札価格を反映</t>
        </is>
      </c>
      <c r="D29" s="0" t="inlineStr">
        <is>
          <t>百万円</t>
        </is>
      </c>
      <c r="F29" s="359">
        <f>事業費用概算!G6</f>
        <v/>
      </c>
      <c r="K29" s="0" t="inlineStr">
        <is>
          <t>施設整備費用</t>
        </is>
      </c>
      <c r="N29" s="19" t="inlineStr">
        <is>
          <t>百万円</t>
        </is>
      </c>
      <c r="O29" s="358">
        <f>F30*$F$50+F29</f>
        <v/>
      </c>
      <c r="P29" s="358">
        <f>F28*(1-F51)</f>
        <v/>
      </c>
      <c r="Q29" s="0" t="inlineStr">
        <is>
          <t>PSCは競争の効果反映、LCCは削減率を反映</t>
        </is>
      </c>
      <c r="V29" s="58">
        <f>IF(W29=1,DATE(YEAR($F$18)+(MONTH($F$18)&gt;=4),4,0),EOMONTH(V28,12))</f>
        <v/>
      </c>
      <c r="W29" s="26" t="n">
        <v>13</v>
      </c>
      <c r="X29" s="282">
        <f>IF(W29&gt;$O$16,"-",IF($W29&lt;=$F$16,"整備期間","維持管理・運営期間"))</f>
        <v/>
      </c>
      <c r="Y29" s="344">
        <f>IF($W29=$F$16,$O$61,0)</f>
        <v/>
      </c>
      <c r="Z29" s="345">
        <f>IF($W29=$F$16,$O$63,0)</f>
        <v/>
      </c>
      <c r="AA29" s="345">
        <f>IF($W29=$F$16,$O$62,0)</f>
        <v/>
      </c>
      <c r="AB29" s="345">
        <f>IF(X29="維持管理・運営期間",$F$56,0)</f>
        <v/>
      </c>
      <c r="AC29" s="346">
        <f>SUM(Y29:Z29,AB29)</f>
        <v/>
      </c>
      <c r="AD29" s="344">
        <f>IF($W29=$F$16,$O$30,0)</f>
        <v/>
      </c>
      <c r="AE29" s="345">
        <f>IF($X29="維持管理・運営期間",$O$41,0)</f>
        <v/>
      </c>
      <c r="AF29" s="345">
        <f>IF(AND($W29&gt;0,$W29&lt;=$O$16),$E$45,0)</f>
        <v/>
      </c>
      <c r="AG29" s="345">
        <f>IF(AND(SUM($AA$16:AA28)&gt;0,SUM($AG$16:AG28)&lt;$O$62,$W29&gt;=$O$65),$O$64,0)</f>
        <v/>
      </c>
      <c r="AH29" s="351">
        <f>IF(SUM($AA$17:$AA28)&gt;0,($O$62-SUM($AG$17:$AG28))*$F$65,0)</f>
        <v/>
      </c>
      <c r="AI29" s="346">
        <f>SUM(AD29:AF29)</f>
        <v/>
      </c>
      <c r="AJ29" s="351">
        <f>AC29-AI29</f>
        <v/>
      </c>
      <c r="AK29" s="338">
        <f>(SUM($P$31,$P$51)-SUM($AU$17:AU28))*$O$109</f>
        <v/>
      </c>
      <c r="AL29" s="348" t="n"/>
      <c r="AM29" s="352">
        <f>AJ29*$BF29</f>
        <v/>
      </c>
      <c r="AN29" s="349" t="n"/>
      <c r="AO29" s="350">
        <f>IF($W29=$F$16,$P$61,0)</f>
        <v/>
      </c>
      <c r="AP29" s="351">
        <f>IF($W29=$F$16,$P$63,0)</f>
        <v/>
      </c>
      <c r="AQ29" s="351">
        <f>IF($W29=$F$16,$P$62,0)</f>
        <v/>
      </c>
      <c r="AR29" s="345">
        <f>IF($W29&lt;$O$16,IF(W29=$F$16,$U$92,$U$93),0)</f>
        <v/>
      </c>
      <c r="AS29" s="346">
        <f>SUM(AO29:AP29,AR29)</f>
        <v/>
      </c>
      <c r="AT29" s="345">
        <f>IF(W29=$F$16,$P$30,0)</f>
        <v/>
      </c>
      <c r="AU29" s="345">
        <f>IFERROR(-PPMT($P$36,W29-$F$16,$F$17,SUM(P$31,P$51)),0)</f>
        <v/>
      </c>
      <c r="AV29" s="345">
        <f>IFERROR(-IPMT($P$36,W29-$F$16,$F$17,SUM($P$31,$P$51)),0)</f>
        <v/>
      </c>
      <c r="AW29" s="345">
        <f>IF(AND(W29&gt;$F$16,W29&lt;=SUM($F$16:$F$17)),$P$43,0)</f>
        <v/>
      </c>
      <c r="AX29" s="345">
        <f>IF($W29=1,$F$44,0)+IF(AND($W29&gt;0,$W29&lt;=$O$16),$F$45,0)</f>
        <v/>
      </c>
      <c r="AY29" s="345">
        <f>IF(AND(W29&gt;$F$16,W29&lt;=SUM($F$16:$F$17)),$P$54,0)</f>
        <v/>
      </c>
      <c r="AZ29" s="345">
        <f>IF(AND(SUM($AQ$16:AQ28)&gt;0,SUM($AZ$16:AZ28)&lt;$P$62,$W29&gt;=$P$65),$P$64,0)</f>
        <v/>
      </c>
      <c r="BA29" s="345">
        <f>IF(SUM($AQ$17:$AQ28)&gt;0,($P$62-SUM($AZ$17:$AZ28))*$F$65,0)</f>
        <v/>
      </c>
      <c r="BB29" s="346">
        <f>SUM(AT29:AY29)</f>
        <v/>
      </c>
      <c r="BC29" s="351">
        <f>AS29-BB29</f>
        <v/>
      </c>
      <c r="BD29" s="352">
        <f>BC29*$BF29</f>
        <v/>
      </c>
      <c r="BE29" s="337" t="n"/>
      <c r="BF29" s="46">
        <f>BF28/(1+$O$22)</f>
        <v/>
      </c>
      <c r="BH29" s="350">
        <f>AT29</f>
        <v/>
      </c>
      <c r="BI29" s="350">
        <f>AU29</f>
        <v/>
      </c>
      <c r="BJ29" s="351">
        <f>AV29</f>
        <v/>
      </c>
      <c r="BK29" s="351">
        <f>AW29</f>
        <v/>
      </c>
      <c r="BL29" s="351">
        <f>AY29</f>
        <v/>
      </c>
      <c r="BM29" s="351">
        <f>IF($W29&gt;$F$16,$F$56,0)</f>
        <v/>
      </c>
      <c r="BN29" s="352">
        <f>SUM(BH29:BM29)</f>
        <v/>
      </c>
      <c r="BO29" s="351">
        <f>IF($W29=$F$16,$P$32,0)</f>
        <v/>
      </c>
      <c r="BP29" s="351">
        <f>IF(AND(W29&gt;$F$16,W29&lt;=SUM($F$16:$F$17)),$P$41,0)</f>
        <v/>
      </c>
      <c r="BQ29" s="351">
        <f>IFERROR(-IPMT($P$67,W29-$F$16,$F$17,SUM(P$31,P$51)),0)</f>
        <v/>
      </c>
      <c r="BR29" s="351">
        <f>IF($W29&lt;=$O$16,$F$105,0)</f>
        <v/>
      </c>
      <c r="BS29" s="353">
        <f>IF($W29=1,SUM($O$103,$O$105),0)</f>
        <v/>
      </c>
      <c r="BT29" s="351">
        <f>IF($W29&lt;$O$16,IF(W29=$F$16,$P$93,$P$94),0)</f>
        <v/>
      </c>
      <c r="BU29" s="352">
        <f>SUM(BO29:BP29,BR29:BT29)</f>
        <v/>
      </c>
      <c r="BV29" s="352">
        <f>BN29-BU29</f>
        <v/>
      </c>
      <c r="BW29" s="342" t="n"/>
      <c r="BX29" s="338">
        <f>IFERROR(-PPMT($P$67,$W29-$F$16,$F$17,SUM(P$31,P$51)),0)</f>
        <v/>
      </c>
      <c r="BY29" s="356">
        <f>IF(BV29-BX29&gt;=0,0,1)</f>
        <v/>
      </c>
      <c r="CA29" s="0" t="n"/>
    </row>
    <row r="30" ht="15.75" customHeight="1" s="302">
      <c r="C30" s="2" t="inlineStr">
        <is>
          <t>うち、PSCの予定価格を反映</t>
        </is>
      </c>
      <c r="D30" s="0" t="inlineStr">
        <is>
          <t>百万円</t>
        </is>
      </c>
      <c r="F30" s="359">
        <f>事業費用概算!G7</f>
        <v/>
      </c>
      <c r="M30" s="56" t="inlineStr">
        <is>
          <t>完工時、一括払</t>
        </is>
      </c>
      <c r="N30" s="19" t="inlineStr">
        <is>
          <t>百万円</t>
        </is>
      </c>
      <c r="O30" s="360">
        <f>O29*E32</f>
        <v/>
      </c>
      <c r="P30" s="360">
        <f>$P$29*F32</f>
        <v/>
      </c>
      <c r="V30" s="58">
        <f>IF(W30=1,DATE(YEAR($F$18)+(MONTH($F$18)&gt;=4),4,0),EOMONTH(V29,12))</f>
        <v/>
      </c>
      <c r="W30" s="26" t="n">
        <v>14</v>
      </c>
      <c r="X30" s="282">
        <f>IF(W30&gt;$O$16,"-",IF($W30&lt;=$F$16,"整備期間","維持管理・運営期間"))</f>
        <v/>
      </c>
      <c r="Y30" s="344">
        <f>IF($W30=$F$16,$O$61,0)</f>
        <v/>
      </c>
      <c r="Z30" s="345">
        <f>IF($W30=$F$16,$O$63,0)</f>
        <v/>
      </c>
      <c r="AA30" s="345">
        <f>IF($W30=$F$16,$O$62,0)</f>
        <v/>
      </c>
      <c r="AB30" s="345">
        <f>IF(X30="維持管理・運営期間",$F$56,0)</f>
        <v/>
      </c>
      <c r="AC30" s="346">
        <f>SUM(Y30:Z30,AB30)</f>
        <v/>
      </c>
      <c r="AD30" s="344">
        <f>IF($W30=$F$16,$O$30,0)</f>
        <v/>
      </c>
      <c r="AE30" s="345">
        <f>IF($X30="維持管理・運営期間",$O$41,0)</f>
        <v/>
      </c>
      <c r="AF30" s="345">
        <f>IF(AND($W30&gt;0,$W30&lt;=$O$16),$E$45,0)</f>
        <v/>
      </c>
      <c r="AG30" s="345">
        <f>IF(AND(SUM($AA$16:AA29)&gt;0,SUM($AG$16:AG29)&lt;$O$62,$W30&gt;=$O$65),$O$64,0)</f>
        <v/>
      </c>
      <c r="AH30" s="351">
        <f>IF(SUM($AA$17:$AA29)&gt;0,($O$62-SUM($AG$17:$AG29))*$F$65,0)</f>
        <v/>
      </c>
      <c r="AI30" s="346">
        <f>SUM(AD30:AF30)</f>
        <v/>
      </c>
      <c r="AJ30" s="351">
        <f>AC30-AI30</f>
        <v/>
      </c>
      <c r="AK30" s="338">
        <f>(SUM($P$31,$P$51)-SUM($AU$17:AU29))*$O$109</f>
        <v/>
      </c>
      <c r="AL30" s="348" t="n"/>
      <c r="AM30" s="352">
        <f>AJ30*$BF30</f>
        <v/>
      </c>
      <c r="AN30" s="349" t="n"/>
      <c r="AO30" s="350">
        <f>IF($W30=$F$16,$P$61,0)</f>
        <v/>
      </c>
      <c r="AP30" s="351">
        <f>IF($W30=$F$16,$P$63,0)</f>
        <v/>
      </c>
      <c r="AQ30" s="351">
        <f>IF($W30=$F$16,$P$62,0)</f>
        <v/>
      </c>
      <c r="AR30" s="345">
        <f>IF($W30&lt;$O$16,IF(W30=$F$16,$U$92,$U$93),0)</f>
        <v/>
      </c>
      <c r="AS30" s="346">
        <f>SUM(AO30:AP30,AR30)</f>
        <v/>
      </c>
      <c r="AT30" s="345">
        <f>IF(W30=$F$16,$P$30,0)</f>
        <v/>
      </c>
      <c r="AU30" s="345">
        <f>IFERROR(-PPMT($P$36,W30-$F$16,$F$17,SUM(P$31,P$51)),0)</f>
        <v/>
      </c>
      <c r="AV30" s="345">
        <f>IFERROR(-IPMT($P$36,W30-$F$16,$F$17,SUM($P$31,$P$51)),0)</f>
        <v/>
      </c>
      <c r="AW30" s="345">
        <f>IF(AND(W30&gt;$F$16,W30&lt;=SUM($F$16:$F$17)),$P$43,0)</f>
        <v/>
      </c>
      <c r="AX30" s="345">
        <f>IF($W30=1,$F$44,0)+IF(AND($W30&gt;0,$W30&lt;=$O$16),$F$45,0)</f>
        <v/>
      </c>
      <c r="AY30" s="345">
        <f>IF(AND(W30&gt;$F$16,W30&lt;=SUM($F$16:$F$17)),$P$54,0)</f>
        <v/>
      </c>
      <c r="AZ30" s="345">
        <f>IF(AND(SUM($AQ$16:AQ29)&gt;0,SUM($AZ$16:AZ29)&lt;$P$62,$W30&gt;=$P$65),$P$64,0)</f>
        <v/>
      </c>
      <c r="BA30" s="345">
        <f>IF(SUM($AQ$17:$AQ29)&gt;0,($P$62-SUM($AZ$17:$AZ29))*$F$65,0)</f>
        <v/>
      </c>
      <c r="BB30" s="346">
        <f>SUM(AT30:AY30)</f>
        <v/>
      </c>
      <c r="BC30" s="351">
        <f>AS30-BB30</f>
        <v/>
      </c>
      <c r="BD30" s="352">
        <f>BC30*$BF30</f>
        <v/>
      </c>
      <c r="BE30" s="337" t="n"/>
      <c r="BF30" s="46">
        <f>BF29/(1+$O$22)</f>
        <v/>
      </c>
      <c r="BH30" s="350">
        <f>AT30</f>
        <v/>
      </c>
      <c r="BI30" s="350">
        <f>AU30</f>
        <v/>
      </c>
      <c r="BJ30" s="351">
        <f>AV30</f>
        <v/>
      </c>
      <c r="BK30" s="351">
        <f>AW30</f>
        <v/>
      </c>
      <c r="BL30" s="351">
        <f>AY30</f>
        <v/>
      </c>
      <c r="BM30" s="351">
        <f>IF($W30&gt;$F$16,$F$56,0)</f>
        <v/>
      </c>
      <c r="BN30" s="352">
        <f>SUM(BH30:BM30)</f>
        <v/>
      </c>
      <c r="BO30" s="351">
        <f>IF($W30=$F$16,$P$32,0)</f>
        <v/>
      </c>
      <c r="BP30" s="351">
        <f>IF(AND(W30&gt;$F$16,W30&lt;=SUM($F$16:$F$17)),$P$41,0)</f>
        <v/>
      </c>
      <c r="BQ30" s="351">
        <f>IFERROR(-IPMT($P$67,W30-$F$16,$F$17,SUM(P$31,P$51)),0)</f>
        <v/>
      </c>
      <c r="BR30" s="351">
        <f>IF($W30&lt;=$O$16,$F$105,0)</f>
        <v/>
      </c>
      <c r="BS30" s="353">
        <f>IF($W30=1,SUM($O$103,$O$105),0)</f>
        <v/>
      </c>
      <c r="BT30" s="351">
        <f>IF($W30&lt;$O$16,IF(W30=$F$16,$P$93,$P$94),0)</f>
        <v/>
      </c>
      <c r="BU30" s="352">
        <f>SUM(BO30:BP30,BR30:BT30)</f>
        <v/>
      </c>
      <c r="BV30" s="352">
        <f>BN30-BU30</f>
        <v/>
      </c>
      <c r="BW30" s="342" t="n"/>
      <c r="BX30" s="338">
        <f>IFERROR(-PPMT($P$67,$W30-$F$16,$F$17,SUM(P$31,P$51)),0)</f>
        <v/>
      </c>
      <c r="BY30" s="356">
        <f>IF(BV30-BX30&gt;=0,0,1)</f>
        <v/>
      </c>
      <c r="CA30" s="0" t="n"/>
    </row>
    <row r="31" ht="15.75" customHeight="1" s="302">
      <c r="C31" s="0" t="inlineStr">
        <is>
          <t>施設整備費用の支払内訳</t>
        </is>
      </c>
      <c r="E31" s="19" t="inlineStr">
        <is>
          <t>PSC</t>
        </is>
      </c>
      <c r="F31" s="19" t="inlineStr">
        <is>
          <t>PFI-LCC</t>
        </is>
      </c>
      <c r="M31" s="56" t="inlineStr">
        <is>
          <t>完工後、割賦払</t>
        </is>
      </c>
      <c r="N31" s="19" t="inlineStr">
        <is>
          <t>百万円</t>
        </is>
      </c>
      <c r="O31" s="360">
        <f>O30*E33</f>
        <v/>
      </c>
      <c r="P31" s="360">
        <f>$P$29*F33</f>
        <v/>
      </c>
      <c r="V31" s="58">
        <f>IF(W31=1,DATE(YEAR($F$18)+(MONTH($F$18)&gt;=4),4,0),EOMONTH(V30,12))</f>
        <v/>
      </c>
      <c r="W31" s="26" t="n">
        <v>15</v>
      </c>
      <c r="X31" s="282">
        <f>IF(W31&gt;$O$16,"-",IF($W31&lt;=$F$16,"整備期間","維持管理・運営期間"))</f>
        <v/>
      </c>
      <c r="Y31" s="344">
        <f>IF($W31=$F$16,$O$61,0)</f>
        <v/>
      </c>
      <c r="Z31" s="345">
        <f>IF($W31=$F$16,$O$63,0)</f>
        <v/>
      </c>
      <c r="AA31" s="345">
        <f>IF($W31=$F$16,$O$62,0)</f>
        <v/>
      </c>
      <c r="AB31" s="345">
        <f>IF(X31="維持管理・運営期間",$F$56,0)</f>
        <v/>
      </c>
      <c r="AC31" s="346">
        <f>SUM(Y31:Z31,AB31)</f>
        <v/>
      </c>
      <c r="AD31" s="344">
        <f>IF($W31=$F$16,$O$30,0)</f>
        <v/>
      </c>
      <c r="AE31" s="345">
        <f>IF($X31="維持管理・運営期間",$O$41,0)</f>
        <v/>
      </c>
      <c r="AF31" s="345">
        <f>IF(AND($W31&gt;0,$W31&lt;=$O$16),$E$45,0)</f>
        <v/>
      </c>
      <c r="AG31" s="345">
        <f>IF(AND(SUM($AA$16:AA30)&gt;0,SUM($AG$16:AG30)&lt;$O$62,$W31&gt;=$O$65),$O$64,0)</f>
        <v/>
      </c>
      <c r="AH31" s="351">
        <f>IF(SUM($AA$17:$AA30)&gt;0,($O$62-SUM($AG$17:$AG30))*$F$65,0)</f>
        <v/>
      </c>
      <c r="AI31" s="346">
        <f>SUM(AD31:AF31)</f>
        <v/>
      </c>
      <c r="AJ31" s="351">
        <f>AC31-AI31</f>
        <v/>
      </c>
      <c r="AK31" s="338">
        <f>(SUM($P$31,$P$51)-SUM($AU$17:AU30))*$O$109</f>
        <v/>
      </c>
      <c r="AL31" s="348" t="n"/>
      <c r="AM31" s="352">
        <f>AJ31*$BF31</f>
        <v/>
      </c>
      <c r="AN31" s="349" t="n"/>
      <c r="AO31" s="350">
        <f>IF($W31=$F$16,$P$61,0)</f>
        <v/>
      </c>
      <c r="AP31" s="351">
        <f>IF($W31=$F$16,$P$63,0)</f>
        <v/>
      </c>
      <c r="AQ31" s="351">
        <f>IF($W31=$F$16,$P$62,0)</f>
        <v/>
      </c>
      <c r="AR31" s="345">
        <f>IF($W31&lt;$O$16,IF(W31=$F$16,$U$92,$U$93),0)</f>
        <v/>
      </c>
      <c r="AS31" s="346">
        <f>SUM(AO31:AP31,AR31)</f>
        <v/>
      </c>
      <c r="AT31" s="345">
        <f>IF(W31=$F$16,$P$30,0)</f>
        <v/>
      </c>
      <c r="AU31" s="345">
        <f>IFERROR(-PPMT($P$36,W31-$F$16,$F$17,SUM(P$31,P$51)),0)</f>
        <v/>
      </c>
      <c r="AV31" s="345">
        <f>IFERROR(-IPMT($P$36,W31-$F$16,$F$17,SUM($P$31,$P$51)),0)</f>
        <v/>
      </c>
      <c r="AW31" s="345">
        <f>IF(AND(W31&gt;$F$16,W31&lt;=SUM($F$16:$F$17)),$P$43,0)</f>
        <v/>
      </c>
      <c r="AX31" s="345">
        <f>IF($W31=1,$F$44,0)+IF(AND($W31&gt;0,$W31&lt;=$O$16),$F$45,0)</f>
        <v/>
      </c>
      <c r="AY31" s="345">
        <f>IF(AND(W31&gt;$F$16,W31&lt;=SUM($F$16:$F$17)),$P$54,0)</f>
        <v/>
      </c>
      <c r="AZ31" s="345">
        <f>IF(AND(SUM($AQ$16:AQ30)&gt;0,SUM($AZ$16:AZ30)&lt;$P$62,$W31&gt;=$P$65),$P$64,0)</f>
        <v/>
      </c>
      <c r="BA31" s="345">
        <f>IF(SUM($AQ$17:$AQ30)&gt;0,($P$62-SUM($AZ$17:$AZ30))*$F$65,0)</f>
        <v/>
      </c>
      <c r="BB31" s="346">
        <f>SUM(AT31:AY31)</f>
        <v/>
      </c>
      <c r="BC31" s="351">
        <f>AS31-BB31</f>
        <v/>
      </c>
      <c r="BD31" s="352">
        <f>BC31*$BF31</f>
        <v/>
      </c>
      <c r="BE31" s="337" t="n"/>
      <c r="BF31" s="46">
        <f>BF30/(1+$O$22)</f>
        <v/>
      </c>
      <c r="BH31" s="350">
        <f>AT31</f>
        <v/>
      </c>
      <c r="BI31" s="350">
        <f>AU31</f>
        <v/>
      </c>
      <c r="BJ31" s="351">
        <f>AV31</f>
        <v/>
      </c>
      <c r="BK31" s="351">
        <f>AW31</f>
        <v/>
      </c>
      <c r="BL31" s="351">
        <f>AY31</f>
        <v/>
      </c>
      <c r="BM31" s="351">
        <f>IF($W31&gt;$F$16,$F$56,0)</f>
        <v/>
      </c>
      <c r="BN31" s="352">
        <f>SUM(BH31:BM31)</f>
        <v/>
      </c>
      <c r="BO31" s="351">
        <f>IF($W31=$F$16,$P$32,0)</f>
        <v/>
      </c>
      <c r="BP31" s="351">
        <f>IF(AND(W31&gt;$F$16,W31&lt;=SUM($F$16:$F$17)),$P$41,0)</f>
        <v/>
      </c>
      <c r="BQ31" s="351">
        <f>IFERROR(-IPMT($P$67,W31-$F$16,$F$17,SUM(P$31,P$51)),0)</f>
        <v/>
      </c>
      <c r="BR31" s="351">
        <f>IF($W31&lt;=$O$16,$F$105,0)</f>
        <v/>
      </c>
      <c r="BS31" s="353">
        <f>IF($W31=1,SUM($O$103,$O$105),0)</f>
        <v/>
      </c>
      <c r="BT31" s="351">
        <f>IF($W31&lt;$O$16,IF(W31=$F$16,$P$93,$P$94),0)</f>
        <v/>
      </c>
      <c r="BU31" s="352">
        <f>SUM(BO31:BP31,BR31:BT31)</f>
        <v/>
      </c>
      <c r="BV31" s="352">
        <f>BN31-BU31</f>
        <v/>
      </c>
      <c r="BW31" s="342" t="n"/>
      <c r="BX31" s="338">
        <f>IFERROR(-PPMT($P$67,$W31-$F$16,$F$17,SUM(P$31,P$51)),0)</f>
        <v/>
      </c>
      <c r="BY31" s="356">
        <f>IF(BV31-BX31&gt;=0,0,1)</f>
        <v/>
      </c>
      <c r="CA31" s="0" t="n"/>
    </row>
    <row r="32" ht="15.75" customHeight="1" s="302">
      <c r="C32" s="2" t="inlineStr">
        <is>
          <t>完工時、一括払</t>
        </is>
      </c>
      <c r="D32" s="0" t="inlineStr">
        <is>
          <t>％</t>
        </is>
      </c>
      <c r="E32" s="268" t="n">
        <v>1</v>
      </c>
      <c r="F32" s="138" t="n">
        <v>1</v>
      </c>
      <c r="H32" s="72" t="inlineStr">
        <is>
          <t>一括払のみ</t>
        </is>
      </c>
      <c r="M32" s="56" t="inlineStr">
        <is>
          <t>施設整備費用合計</t>
        </is>
      </c>
      <c r="N32" s="19" t="inlineStr">
        <is>
          <t>百万円</t>
        </is>
      </c>
      <c r="O32" s="360">
        <f>SUM(O30:O31)</f>
        <v/>
      </c>
      <c r="P32" s="360">
        <f>SUM(P30:P31)</f>
        <v/>
      </c>
      <c r="V32" s="58">
        <f>IF(W32=1,DATE(YEAR($F$18)+(MONTH($F$18)&gt;=4),4,0),EOMONTH(V31,12))</f>
        <v/>
      </c>
      <c r="W32" s="26" t="n">
        <v>16</v>
      </c>
      <c r="X32" s="282">
        <f>IF(W32&gt;$O$16,"-",IF($W32&lt;=$F$16,"整備期間","維持管理・運営期間"))</f>
        <v/>
      </c>
      <c r="Y32" s="344">
        <f>IF($W32=$F$16,$O$61,0)</f>
        <v/>
      </c>
      <c r="Z32" s="345">
        <f>IF($W32=$F$16,$O$63,0)</f>
        <v/>
      </c>
      <c r="AA32" s="345">
        <f>IF($W32=$F$16,$O$62,0)</f>
        <v/>
      </c>
      <c r="AB32" s="345">
        <f>IF(X32="維持管理・運営期間",$F$56,0)</f>
        <v/>
      </c>
      <c r="AC32" s="346">
        <f>SUM(Y32:Z32,AB32)</f>
        <v/>
      </c>
      <c r="AD32" s="344">
        <f>IF($W32=$F$16,$O$30,0)</f>
        <v/>
      </c>
      <c r="AE32" s="345">
        <f>IF($X32="維持管理・運営期間",$O$41,0)</f>
        <v/>
      </c>
      <c r="AF32" s="345">
        <f>IF(AND($W32&gt;0,$W32&lt;=$O$16),$E$45,0)</f>
        <v/>
      </c>
      <c r="AG32" s="345">
        <f>IF(AND(SUM($AA$16:AA31)&gt;0,SUM($AG$16:AG31)&lt;$O$62,$W32&gt;=$O$65),$O$64,0)</f>
        <v/>
      </c>
      <c r="AH32" s="351">
        <f>IF(SUM($AA$17:$AA31)&gt;0,($O$62-SUM($AG$17:$AG31))*$F$65,0)</f>
        <v/>
      </c>
      <c r="AI32" s="346">
        <f>SUM(AD32:AF32)</f>
        <v/>
      </c>
      <c r="AJ32" s="351">
        <f>AC32-AI32</f>
        <v/>
      </c>
      <c r="AK32" s="338">
        <f>(SUM($P$31,$P$51)-SUM($AU$17:AU31))*$O$109</f>
        <v/>
      </c>
      <c r="AL32" s="348" t="n"/>
      <c r="AM32" s="352">
        <f>AJ32*$BF32</f>
        <v/>
      </c>
      <c r="AN32" s="349" t="n"/>
      <c r="AO32" s="350">
        <f>IF($W32=$F$16,$P$61,0)</f>
        <v/>
      </c>
      <c r="AP32" s="351">
        <f>IF($W32=$F$16,$P$63,0)</f>
        <v/>
      </c>
      <c r="AQ32" s="351">
        <f>IF($W32=$F$16,$P$62,0)</f>
        <v/>
      </c>
      <c r="AR32" s="345">
        <f>IF($W32&lt;$O$16,IF(W32=$F$16,$U$92,$U$93),0)</f>
        <v/>
      </c>
      <c r="AS32" s="346">
        <f>SUM(AO32:AP32,AR32)</f>
        <v/>
      </c>
      <c r="AT32" s="345">
        <f>IF(W32=$F$16,$P$30,0)</f>
        <v/>
      </c>
      <c r="AU32" s="345">
        <f>IFERROR(-PPMT($P$36,W32-$F$16,$F$17,SUM(P$31,P$51)),0)</f>
        <v/>
      </c>
      <c r="AV32" s="345">
        <f>IFERROR(-IPMT($P$36,W32-$F$16,$F$17,SUM($P$31,$P$51)),0)</f>
        <v/>
      </c>
      <c r="AW32" s="345">
        <f>IF(AND(W32&gt;$F$16,W32&lt;=SUM($F$16:$F$17)),$P$43,0)</f>
        <v/>
      </c>
      <c r="AX32" s="345">
        <f>IF($W32=1,$F$44,0)+IF(AND($W32&gt;0,$W32&lt;=$O$16),$F$45,0)</f>
        <v/>
      </c>
      <c r="AY32" s="345">
        <f>IF(AND(W32&gt;$F$16,W32&lt;=SUM($F$16:$F$17)),$P$54,0)</f>
        <v/>
      </c>
      <c r="AZ32" s="345">
        <f>IF(AND(SUM($AQ$16:AQ31)&gt;0,SUM($AZ$16:AZ31)&lt;$P$62,$W32&gt;=$P$65),$P$64,0)</f>
        <v/>
      </c>
      <c r="BA32" s="345">
        <f>IF(SUM($AQ$17:$AQ31)&gt;0,($P$62-SUM($AZ$17:$AZ31))*$F$65,0)</f>
        <v/>
      </c>
      <c r="BB32" s="346">
        <f>SUM(AT32:AY32)</f>
        <v/>
      </c>
      <c r="BC32" s="351">
        <f>AS32-BB32</f>
        <v/>
      </c>
      <c r="BD32" s="352">
        <f>BC32*$BF32</f>
        <v/>
      </c>
      <c r="BE32" s="337" t="n"/>
      <c r="BF32" s="46">
        <f>BF31/(1+$O$22)</f>
        <v/>
      </c>
      <c r="BH32" s="350">
        <f>AT32</f>
        <v/>
      </c>
      <c r="BI32" s="350">
        <f>AU32</f>
        <v/>
      </c>
      <c r="BJ32" s="351">
        <f>AV32</f>
        <v/>
      </c>
      <c r="BK32" s="351">
        <f>AW32</f>
        <v/>
      </c>
      <c r="BL32" s="351">
        <f>AY32</f>
        <v/>
      </c>
      <c r="BM32" s="351">
        <f>IF($W32&gt;$F$16,$F$56,0)</f>
        <v/>
      </c>
      <c r="BN32" s="352">
        <f>SUM(BH32:BM32)</f>
        <v/>
      </c>
      <c r="BO32" s="351">
        <f>IF($W32=$F$16,$P$32,0)</f>
        <v/>
      </c>
      <c r="BP32" s="351">
        <f>IF(AND(W32&gt;$F$16,W32&lt;=SUM($F$16:$F$17)),$P$41,0)</f>
        <v/>
      </c>
      <c r="BQ32" s="351">
        <f>IFERROR(-IPMT($P$67,W32-$F$16,$F$17,SUM(P$31,P$51)),0)</f>
        <v/>
      </c>
      <c r="BR32" s="351">
        <f>IF($W32&lt;=$O$16,$F$105,0)</f>
        <v/>
      </c>
      <c r="BS32" s="353">
        <f>IF($W32=1,SUM($O$103,$O$105),0)</f>
        <v/>
      </c>
      <c r="BT32" s="351">
        <f>IF($W32&lt;$O$16,IF(W32=$F$16,$P$93,$P$94),0)</f>
        <v/>
      </c>
      <c r="BU32" s="352">
        <f>SUM(BO32:BP32,BR32:BT32)</f>
        <v/>
      </c>
      <c r="BV32" s="352">
        <f>BN32-BU32</f>
        <v/>
      </c>
      <c r="BW32" s="342" t="n"/>
      <c r="BX32" s="338">
        <f>IFERROR(-PPMT($P$67,$W32-$F$16,$F$17,SUM(P$31,P$51)),0)</f>
        <v/>
      </c>
      <c r="BY32" s="356">
        <f>IF(BV32-BX32&gt;=0,0,1)</f>
        <v/>
      </c>
      <c r="CA32" s="0" t="n"/>
    </row>
    <row r="33" ht="15.75" customHeight="1" s="302">
      <c r="C33" s="2" t="inlineStr">
        <is>
          <t>完工後、割賦払</t>
        </is>
      </c>
      <c r="D33" s="0" t="inlineStr">
        <is>
          <t>％</t>
        </is>
      </c>
      <c r="E33" s="139" t="n"/>
      <c r="F33" s="139" t="n"/>
      <c r="V33" s="58">
        <f>IF(W33=1,DATE(YEAR($F$18)+(MONTH($F$18)&gt;=4),4,0),EOMONTH(V32,12))</f>
        <v/>
      </c>
      <c r="W33" s="26" t="n">
        <v>17</v>
      </c>
      <c r="X33" s="282">
        <f>IF(W33&gt;$O$16,"-",IF($W33&lt;=$F$16,"整備期間","維持管理・運営期間"))</f>
        <v/>
      </c>
      <c r="Y33" s="344">
        <f>IF($W33=$F$16,$O$61,0)</f>
        <v/>
      </c>
      <c r="Z33" s="345">
        <f>IF($W33=$F$16,$O$63,0)</f>
        <v/>
      </c>
      <c r="AA33" s="345">
        <f>IF($W33=$F$16,$O$62,0)</f>
        <v/>
      </c>
      <c r="AB33" s="345">
        <f>IF(X33="維持管理・運営期間",$F$56,0)</f>
        <v/>
      </c>
      <c r="AC33" s="346">
        <f>SUM(Y33:Z33,AB33)</f>
        <v/>
      </c>
      <c r="AD33" s="344">
        <f>IF($W33=$F$16,$O$30,0)</f>
        <v/>
      </c>
      <c r="AE33" s="345">
        <f>IF($X33="維持管理・運営期間",$O$41,0)</f>
        <v/>
      </c>
      <c r="AF33" s="345">
        <f>IF(AND($W33&gt;0,$W33&lt;=$O$16),$E$45,0)</f>
        <v/>
      </c>
      <c r="AG33" s="345">
        <f>IF(AND(SUM($AA$16:AA32)&gt;0,SUM($AG$16:AG32)&lt;$O$62,$W33&gt;=$O$65),$O$64,0)</f>
        <v/>
      </c>
      <c r="AH33" s="351">
        <f>IF(SUM($AA$17:$AA32)&gt;0,($O$62-SUM($AG$17:$AG32))*$F$65,0)</f>
        <v/>
      </c>
      <c r="AI33" s="346">
        <f>SUM(AD33:AF33)</f>
        <v/>
      </c>
      <c r="AJ33" s="351">
        <f>AC33-AI33</f>
        <v/>
      </c>
      <c r="AK33" s="338">
        <f>(SUM($P$31,$P$51)-SUM($AU$17:AU32))*$O$109</f>
        <v/>
      </c>
      <c r="AL33" s="348" t="n"/>
      <c r="AM33" s="352">
        <f>AJ33*$BF33</f>
        <v/>
      </c>
      <c r="AN33" s="349" t="n"/>
      <c r="AO33" s="350">
        <f>IF($W33=$F$16,$P$61,0)</f>
        <v/>
      </c>
      <c r="AP33" s="351">
        <f>IF($W33=$F$16,$P$63,0)</f>
        <v/>
      </c>
      <c r="AQ33" s="351">
        <f>IF($W33=$F$16,$P$62,0)</f>
        <v/>
      </c>
      <c r="AR33" s="345">
        <f>IF($W33&lt;$O$16,IF(W33=$F$16,$U$92,$U$93),0)</f>
        <v/>
      </c>
      <c r="AS33" s="346">
        <f>SUM(AO33:AP33,AR33)</f>
        <v/>
      </c>
      <c r="AT33" s="345">
        <f>IF(W33=$F$16,$P$30,0)</f>
        <v/>
      </c>
      <c r="AU33" s="345">
        <f>IFERROR(-PPMT($P$36,W33-$F$16,$F$17,SUM(P$31,P$51)),0)</f>
        <v/>
      </c>
      <c r="AV33" s="345">
        <f>IFERROR(-IPMT($P$36,W33-$F$16,$F$17,SUM($P$31,$P$51)),0)</f>
        <v/>
      </c>
      <c r="AW33" s="345">
        <f>IF(AND(W33&gt;$F$16,W33&lt;=SUM($F$16:$F$17)),$P$43,0)</f>
        <v/>
      </c>
      <c r="AX33" s="345">
        <f>IF($W33=1,$F$44,0)+IF(AND($W33&gt;0,$W33&lt;=$O$16),$F$45,0)</f>
        <v/>
      </c>
      <c r="AY33" s="345">
        <f>IF(AND(W33&gt;$F$16,W33&lt;=SUM($F$16:$F$17)),$P$54,0)</f>
        <v/>
      </c>
      <c r="AZ33" s="345">
        <f>IF(AND(SUM($AQ$16:AQ32)&gt;0,SUM($AZ$16:AZ32)&lt;$P$62,$W33&gt;=$P$65),$P$64,0)</f>
        <v/>
      </c>
      <c r="BA33" s="345">
        <f>IF(SUM($AQ$17:$AQ32)&gt;0,($P$62-SUM($AZ$17:$AZ32))*$F$65,0)</f>
        <v/>
      </c>
      <c r="BB33" s="346">
        <f>SUM(AT33:AY33)</f>
        <v/>
      </c>
      <c r="BC33" s="351">
        <f>AS33-BB33</f>
        <v/>
      </c>
      <c r="BD33" s="352">
        <f>BC33*$BF33</f>
        <v/>
      </c>
      <c r="BE33" s="337" t="n"/>
      <c r="BF33" s="46">
        <f>BF32/(1+$O$22)</f>
        <v/>
      </c>
      <c r="BH33" s="350">
        <f>AT33</f>
        <v/>
      </c>
      <c r="BI33" s="350">
        <f>AU33</f>
        <v/>
      </c>
      <c r="BJ33" s="351">
        <f>AV33</f>
        <v/>
      </c>
      <c r="BK33" s="351">
        <f>AW33</f>
        <v/>
      </c>
      <c r="BL33" s="351">
        <f>AY33</f>
        <v/>
      </c>
      <c r="BM33" s="351">
        <f>IF($W33&gt;$F$16,$F$56,0)</f>
        <v/>
      </c>
      <c r="BN33" s="352">
        <f>SUM(BH33:BM33)</f>
        <v/>
      </c>
      <c r="BO33" s="351">
        <f>IF($W33=$F$16,$P$32,0)</f>
        <v/>
      </c>
      <c r="BP33" s="351">
        <f>IF(AND(W33&gt;$F$16,W33&lt;=SUM($F$16:$F$17)),$P$41,0)</f>
        <v/>
      </c>
      <c r="BQ33" s="351">
        <f>IFERROR(-IPMT($P$67,W33-$F$16,$F$17,SUM(P$31,P$51)),0)</f>
        <v/>
      </c>
      <c r="BR33" s="351">
        <f>IF($W33&lt;=$O$16,$F$105,0)</f>
        <v/>
      </c>
      <c r="BS33" s="353">
        <f>IF($W33=1,SUM($O$103,$O$105),0)</f>
        <v/>
      </c>
      <c r="BT33" s="351">
        <f>IF($W33&lt;$O$16,IF(W33=$F$16,$P$93,$P$94),0)</f>
        <v/>
      </c>
      <c r="BU33" s="352">
        <f>SUM(BO33:BP33,BR33:BT33)</f>
        <v/>
      </c>
      <c r="BV33" s="352">
        <f>BN33-BU33</f>
        <v/>
      </c>
      <c r="BW33" s="342" t="n"/>
      <c r="BX33" s="338">
        <f>IFERROR(-PPMT($P$67,$W33-$F$16,$F$17,SUM(P$31,P$51)),0)</f>
        <v/>
      </c>
      <c r="BY33" s="356">
        <f>IF(BV33-BX33&gt;=0,0,1)</f>
        <v/>
      </c>
      <c r="CA33" s="0" t="n"/>
    </row>
    <row r="34" ht="15.75" customHeight="1" s="302">
      <c r="E34" s="13">
        <f>SUM(E32:E33)</f>
        <v/>
      </c>
      <c r="F34" s="13">
        <f>SUM(F32:F33)</f>
        <v/>
      </c>
      <c r="V34" s="58">
        <f>IF(W34=1,DATE(YEAR($F$18)+(MONTH($F$18)&gt;=4),4,0),EOMONTH(V33,12))</f>
        <v/>
      </c>
      <c r="W34" s="26" t="n">
        <v>18</v>
      </c>
      <c r="X34" s="282">
        <f>IF(W34&gt;$O$16,"-",IF($W34&lt;=$F$16,"整備期間","維持管理・運営期間"))</f>
        <v/>
      </c>
      <c r="Y34" s="344">
        <f>IF($W34=$F$16,$O$61,0)</f>
        <v/>
      </c>
      <c r="Z34" s="345">
        <f>IF($W34=$F$16,$O$63,0)</f>
        <v/>
      </c>
      <c r="AA34" s="345">
        <f>IF($W34=$F$16,$O$62,0)</f>
        <v/>
      </c>
      <c r="AB34" s="345">
        <f>IF(X34="維持管理・運営期間",$F$56,0)</f>
        <v/>
      </c>
      <c r="AC34" s="346">
        <f>SUM(Y34:Z34,AB34)</f>
        <v/>
      </c>
      <c r="AD34" s="344">
        <f>IF($W34=$F$16,$O$30,0)</f>
        <v/>
      </c>
      <c r="AE34" s="345">
        <f>IF($X34="維持管理・運営期間",$O$41,0)</f>
        <v/>
      </c>
      <c r="AF34" s="345">
        <f>IF(AND($W34&gt;0,$W34&lt;=$O$16),$E$45,0)</f>
        <v/>
      </c>
      <c r="AG34" s="345">
        <f>IF(AND(SUM($AA$16:AA33)&gt;0,SUM($AG$16:AG33)&lt;$O$62,$W34&gt;=$O$65),$O$64,0)</f>
        <v/>
      </c>
      <c r="AH34" s="351">
        <f>IF(SUM($AA$17:$AA33)&gt;0,($O$62-SUM($AG$17:$AG33))*$F$65,0)</f>
        <v/>
      </c>
      <c r="AI34" s="346">
        <f>SUM(AD34:AF34)</f>
        <v/>
      </c>
      <c r="AJ34" s="351">
        <f>AC34-AI34</f>
        <v/>
      </c>
      <c r="AK34" s="338">
        <f>(SUM($P$31,$P$51)-SUM($AU$17:AU33))*$O$109</f>
        <v/>
      </c>
      <c r="AL34" s="348" t="n"/>
      <c r="AM34" s="352">
        <f>AJ34*$BF34</f>
        <v/>
      </c>
      <c r="AN34" s="349" t="n"/>
      <c r="AO34" s="350">
        <f>IF($W34=$F$16,$P$61,0)</f>
        <v/>
      </c>
      <c r="AP34" s="351">
        <f>IF($W34=$F$16,$P$63,0)</f>
        <v/>
      </c>
      <c r="AQ34" s="351">
        <f>IF($W34=$F$16,$P$62,0)</f>
        <v/>
      </c>
      <c r="AR34" s="345">
        <f>IF($W34&lt;$O$16,IF(W34=$F$16,$U$92,$U$93),0)</f>
        <v/>
      </c>
      <c r="AS34" s="346">
        <f>SUM(AO34:AP34,AR34)</f>
        <v/>
      </c>
      <c r="AT34" s="345">
        <f>IF(W34=$F$16,$P$30,0)</f>
        <v/>
      </c>
      <c r="AU34" s="345">
        <f>IFERROR(-PPMT($P$36,W34-$F$16,$F$17,SUM(P$31,P$51)),0)</f>
        <v/>
      </c>
      <c r="AV34" s="345">
        <f>IFERROR(-IPMT($P$36,W34-$F$16,$F$17,SUM($P$31,$P$51)),0)</f>
        <v/>
      </c>
      <c r="AW34" s="345">
        <f>IF(AND(W34&gt;$F$16,W34&lt;=SUM($F$16:$F$17)),$P$43,0)</f>
        <v/>
      </c>
      <c r="AX34" s="345">
        <f>IF($W34=1,$F$44,0)+IF(AND($W34&gt;0,$W34&lt;=$O$16),$F$45,0)</f>
        <v/>
      </c>
      <c r="AY34" s="345">
        <f>IF(AND(W34&gt;$F$16,W34&lt;=SUM($F$16:$F$17)),$P$54,0)</f>
        <v/>
      </c>
      <c r="AZ34" s="345">
        <f>IF(AND(SUM($AQ$16:AQ33)&gt;0,SUM($AZ$16:AZ33)&lt;$P$62,$W34&gt;=$P$65),$P$64,0)</f>
        <v/>
      </c>
      <c r="BA34" s="345">
        <f>IF(SUM($AQ$17:$AQ33)&gt;0,($P$62-SUM($AZ$17:$AZ33))*$F$65,0)</f>
        <v/>
      </c>
      <c r="BB34" s="346">
        <f>SUM(AT34:AY34)</f>
        <v/>
      </c>
      <c r="BC34" s="351">
        <f>AS34-BB34</f>
        <v/>
      </c>
      <c r="BD34" s="352">
        <f>BC34*$BF34</f>
        <v/>
      </c>
      <c r="BE34" s="337" t="n"/>
      <c r="BF34" s="46">
        <f>BF33/(1+$O$22)</f>
        <v/>
      </c>
      <c r="BH34" s="350">
        <f>AT34</f>
        <v/>
      </c>
      <c r="BI34" s="350">
        <f>AU34</f>
        <v/>
      </c>
      <c r="BJ34" s="351">
        <f>AV34</f>
        <v/>
      </c>
      <c r="BK34" s="351">
        <f>AW34</f>
        <v/>
      </c>
      <c r="BL34" s="351">
        <f>AY34</f>
        <v/>
      </c>
      <c r="BM34" s="351">
        <f>IF($W34&gt;$F$16,$F$56,0)</f>
        <v/>
      </c>
      <c r="BN34" s="352">
        <f>SUM(BH34:BM34)</f>
        <v/>
      </c>
      <c r="BO34" s="351">
        <f>IF($W34=$F$16,$P$32,0)</f>
        <v/>
      </c>
      <c r="BP34" s="351">
        <f>IF(AND(W34&gt;$F$16,W34&lt;=SUM($F$16:$F$17)),$P$41,0)</f>
        <v/>
      </c>
      <c r="BQ34" s="351">
        <f>IFERROR(-IPMT($P$67,W34-$F$16,$F$17,SUM(P$31,P$51)),0)</f>
        <v/>
      </c>
      <c r="BR34" s="351">
        <f>IF($W34&lt;=$O$16,$F$105,0)</f>
        <v/>
      </c>
      <c r="BS34" s="353">
        <f>IF($W34=1,SUM($O$103,$O$105),0)</f>
        <v/>
      </c>
      <c r="BT34" s="351">
        <f>IF($W34&lt;$O$16,IF(W34=$F$16,$P$93,$P$94),0)</f>
        <v/>
      </c>
      <c r="BU34" s="352">
        <f>SUM(BO34:BP34,BR34:BT34)</f>
        <v/>
      </c>
      <c r="BV34" s="352">
        <f>BN34-BU34</f>
        <v/>
      </c>
      <c r="BW34" s="342" t="n"/>
      <c r="BX34" s="338">
        <f>IFERROR(-PPMT($P$67,$W34-$F$16,$F$17,SUM(P$31,P$51)),0)</f>
        <v/>
      </c>
      <c r="BY34" s="356">
        <f>IF(BV34-BX34&gt;=0,0,1)</f>
        <v/>
      </c>
      <c r="CA34" s="0" t="n"/>
    </row>
    <row r="35" ht="15.75" customHeight="1" s="302">
      <c r="B35" s="56" t="inlineStr">
        <is>
          <t>2.2割賦金利（％）</t>
        </is>
      </c>
      <c r="C35" s="2" t="inlineStr">
        <is>
          <t>基準金利</t>
        </is>
      </c>
      <c r="D35" s="0" t="inlineStr">
        <is>
          <t>％</t>
        </is>
      </c>
      <c r="F35" s="15" t="n">
        <v>0</v>
      </c>
      <c r="H35" s="150" t="inlineStr">
        <is>
          <t>割賦払なし</t>
        </is>
      </c>
      <c r="J35" s="102" t="inlineStr">
        <is>
          <t>2.2 サービス購入費（完工後支払）割賦金利（％）</t>
        </is>
      </c>
      <c r="P35" s="0" t="inlineStr">
        <is>
          <t>PFI-LCC</t>
        </is>
      </c>
      <c r="V35" s="58">
        <f>IF(W35=1,DATE(YEAR($F$18)+(MONTH($F$18)&gt;=4),4,0),EOMONTH(V34,12))</f>
        <v/>
      </c>
      <c r="W35" s="26" t="n">
        <v>19</v>
      </c>
      <c r="X35" s="282">
        <f>IF(W35&gt;$O$16,"-",IF($W35&lt;=$F$16,"整備期間","維持管理・運営期間"))</f>
        <v/>
      </c>
      <c r="Y35" s="344">
        <f>IF($W35=$F$16,$O$61,0)</f>
        <v/>
      </c>
      <c r="Z35" s="345">
        <f>IF($W35=$F$16,$O$63,0)</f>
        <v/>
      </c>
      <c r="AA35" s="345">
        <f>IF($W35=$F$16,$O$62,0)</f>
        <v/>
      </c>
      <c r="AB35" s="345">
        <f>IF(X35="維持管理・運営期間",$F$56,0)</f>
        <v/>
      </c>
      <c r="AC35" s="346">
        <f>SUM(Y35:Z35,AB35)</f>
        <v/>
      </c>
      <c r="AD35" s="344">
        <f>IF($W35=$F$16,$O$30,0)</f>
        <v/>
      </c>
      <c r="AE35" s="345">
        <f>IF($X35="維持管理・運営期間",$O$41,0)</f>
        <v/>
      </c>
      <c r="AF35" s="345">
        <f>IF(AND($W35&gt;0,$W35&lt;=$O$16),$E$45,0)</f>
        <v/>
      </c>
      <c r="AG35" s="345">
        <f>IF(AND(SUM($AA$16:AA34)&gt;0,SUM($AG$16:AG34)&lt;$O$62,$W35&gt;=$O$65),$O$64,0)</f>
        <v/>
      </c>
      <c r="AH35" s="351">
        <f>IF(SUM($AA$17:$AA34)&gt;0,($O$62-SUM($AG$17:$AG34))*$F$65,0)</f>
        <v/>
      </c>
      <c r="AI35" s="346">
        <f>SUM(AD35:AF35)</f>
        <v/>
      </c>
      <c r="AJ35" s="351">
        <f>AC35-AI35</f>
        <v/>
      </c>
      <c r="AK35" s="338">
        <f>(SUM($P$31,$P$51)-SUM($AU$17:AU34))*$O$109</f>
        <v/>
      </c>
      <c r="AL35" s="348" t="n"/>
      <c r="AM35" s="352">
        <f>AJ35*$BF35</f>
        <v/>
      </c>
      <c r="AN35" s="349" t="n"/>
      <c r="AO35" s="350">
        <f>IF($W35=$F$16,$P$61,0)</f>
        <v/>
      </c>
      <c r="AP35" s="351">
        <f>IF($W35=$F$16,$P$63,0)</f>
        <v/>
      </c>
      <c r="AQ35" s="351">
        <f>IF($W35=$F$16,$P$62,0)</f>
        <v/>
      </c>
      <c r="AR35" s="345">
        <f>IF($W35&lt;$O$16,IF(W35=$F$16,$U$92,$U$93),0)</f>
        <v/>
      </c>
      <c r="AS35" s="346">
        <f>SUM(AO35:AP35,AR35)</f>
        <v/>
      </c>
      <c r="AT35" s="345">
        <f>IF(W35=$F$16,$P$30,0)</f>
        <v/>
      </c>
      <c r="AU35" s="345">
        <f>IFERROR(-PPMT($P$36,W35-$F$16,$F$17,SUM(P$31,P$51)),0)</f>
        <v/>
      </c>
      <c r="AV35" s="345">
        <f>IFERROR(-IPMT($P$36,W35-$F$16,$F$17,SUM($P$31,$P$51)),0)</f>
        <v/>
      </c>
      <c r="AW35" s="345">
        <f>IF(AND(W35&gt;$F$16,W35&lt;=SUM($F$16:$F$17)),$P$43,0)</f>
        <v/>
      </c>
      <c r="AX35" s="345">
        <f>IF($W35=1,$F$44,0)+IF(AND($W35&gt;0,$W35&lt;=$O$16),$F$45,0)</f>
        <v/>
      </c>
      <c r="AY35" s="345">
        <f>IF(AND(W35&gt;$F$16,W35&lt;=SUM($F$16:$F$17)),$P$54,0)</f>
        <v/>
      </c>
      <c r="AZ35" s="345">
        <f>IF(AND(SUM($AQ$16:AQ34)&gt;0,SUM($AZ$16:AZ34)&lt;$P$62,$W35&gt;=$P$65),$P$64,0)</f>
        <v/>
      </c>
      <c r="BA35" s="345">
        <f>IF(SUM($AQ$17:$AQ34)&gt;0,($P$62-SUM($AZ$17:$AZ34))*$F$65,0)</f>
        <v/>
      </c>
      <c r="BB35" s="346">
        <f>SUM(AT35:AY35)</f>
        <v/>
      </c>
      <c r="BC35" s="351">
        <f>AS35-BB35</f>
        <v/>
      </c>
      <c r="BD35" s="352">
        <f>BC35*$BF35</f>
        <v/>
      </c>
      <c r="BE35" s="337" t="n"/>
      <c r="BF35" s="46">
        <f>BF34/(1+$O$22)</f>
        <v/>
      </c>
      <c r="BH35" s="350">
        <f>AT35</f>
        <v/>
      </c>
      <c r="BI35" s="350">
        <f>AU35</f>
        <v/>
      </c>
      <c r="BJ35" s="351">
        <f>AV35</f>
        <v/>
      </c>
      <c r="BK35" s="351">
        <f>AW35</f>
        <v/>
      </c>
      <c r="BL35" s="351">
        <f>AY35</f>
        <v/>
      </c>
      <c r="BM35" s="351">
        <f>IF($W35&gt;$F$16,$F$56,0)</f>
        <v/>
      </c>
      <c r="BN35" s="352">
        <f>SUM(BH35:BM35)</f>
        <v/>
      </c>
      <c r="BO35" s="351">
        <f>IF($W35=$F$16,$P$32,0)</f>
        <v/>
      </c>
      <c r="BP35" s="351">
        <f>IF(AND(W35&gt;$F$16,W35&lt;=SUM($F$16:$F$17)),$P$41,0)</f>
        <v/>
      </c>
      <c r="BQ35" s="351">
        <f>IFERROR(-IPMT($P$67,W35-$F$16,$F$17,SUM(P$31,P$51)),0)</f>
        <v/>
      </c>
      <c r="BR35" s="351">
        <f>IF($W35&lt;=$O$16,$F$105,0)</f>
        <v/>
      </c>
      <c r="BS35" s="353">
        <f>IF($W35=1,SUM($O$103,$O$105),0)</f>
        <v/>
      </c>
      <c r="BT35" s="351">
        <f>IF($W35&lt;$O$16,IF(W35=$F$16,$P$93,$P$94),0)</f>
        <v/>
      </c>
      <c r="BU35" s="352">
        <f>SUM(BO35:BP35,BR35:BT35)</f>
        <v/>
      </c>
      <c r="BV35" s="352">
        <f>BN35-BU35</f>
        <v/>
      </c>
      <c r="BW35" s="342" t="n"/>
      <c r="BX35" s="338">
        <f>IFERROR(-PPMT($P$67,$W35-$F$16,$F$17,SUM(P$31,P$51)),0)</f>
        <v/>
      </c>
      <c r="BY35" s="356">
        <f>IF(BV35-BX35&gt;=0,0,1)</f>
        <v/>
      </c>
      <c r="CA35" s="0" t="n"/>
    </row>
    <row r="36" ht="15.75" customHeight="1" s="302">
      <c r="C36" s="2" t="inlineStr">
        <is>
          <t>民間資金調達スプレッド</t>
        </is>
      </c>
      <c r="D36" s="0" t="inlineStr">
        <is>
          <t>％</t>
        </is>
      </c>
      <c r="F36" s="361">
        <f>F70</f>
        <v/>
      </c>
      <c r="H36" s="150" t="inlineStr">
        <is>
          <t>割賦払なし</t>
        </is>
      </c>
      <c r="J36" s="4" t="n"/>
      <c r="K36" s="56" t="inlineStr">
        <is>
          <t>割賦金利</t>
        </is>
      </c>
      <c r="N36" s="19" t="inlineStr">
        <is>
          <t>％</t>
        </is>
      </c>
      <c r="O36" s="362" t="n"/>
      <c r="P36" s="36">
        <f>SUM(F35:F37)</f>
        <v/>
      </c>
      <c r="V36" s="58">
        <f>IF(W36=1,DATE(YEAR($F$18)+(MONTH($F$18)&gt;=4),4,0),EOMONTH(V35,12))</f>
        <v/>
      </c>
      <c r="W36" s="26" t="n">
        <v>20</v>
      </c>
      <c r="X36" s="282">
        <f>IF(W36&gt;$O$16,"-",IF($W36&lt;=$F$16,"整備期間","維持管理・運営期間"))</f>
        <v/>
      </c>
      <c r="Y36" s="344">
        <f>IF($W36=$F$16,$O$61,0)</f>
        <v/>
      </c>
      <c r="Z36" s="345">
        <f>IF($W36=$F$16,$O$63,0)</f>
        <v/>
      </c>
      <c r="AA36" s="345">
        <f>IF($W36=$F$16,$O$62,0)</f>
        <v/>
      </c>
      <c r="AB36" s="345">
        <f>IF(X36="維持管理・運営期間",$F$56,0)</f>
        <v/>
      </c>
      <c r="AC36" s="346">
        <f>SUM(Y36:Z36,AB36)</f>
        <v/>
      </c>
      <c r="AD36" s="344">
        <f>IF($W36=$F$16,$O$30,0)</f>
        <v/>
      </c>
      <c r="AE36" s="345">
        <f>IF($X36="維持管理・運営期間",$O$41,0)</f>
        <v/>
      </c>
      <c r="AF36" s="345">
        <f>IF(AND($W36&gt;0,$W36&lt;=$O$16),$E$45,0)</f>
        <v/>
      </c>
      <c r="AG36" s="345">
        <f>IF(AND(SUM($AA$16:AA35)&gt;0,SUM($AG$16:AG35)&lt;$O$62,$W36&gt;=$O$65),$O$64,0)</f>
        <v/>
      </c>
      <c r="AH36" s="351">
        <f>IF(SUM($AA$17:$AA35)&gt;0,($O$62-SUM($AG$17:$AG35))*$F$65,0)</f>
        <v/>
      </c>
      <c r="AI36" s="346">
        <f>SUM(AD36:AF36)</f>
        <v/>
      </c>
      <c r="AJ36" s="351">
        <f>AC36-AI36</f>
        <v/>
      </c>
      <c r="AK36" s="338">
        <f>(SUM($P$31,$P$51)-SUM($AU$17:AU35))*$O$109</f>
        <v/>
      </c>
      <c r="AL36" s="348" t="n"/>
      <c r="AM36" s="352">
        <f>AJ36*$BF36</f>
        <v/>
      </c>
      <c r="AN36" s="349" t="n"/>
      <c r="AO36" s="350">
        <f>IF($W36=$F$16,$P$61,0)</f>
        <v/>
      </c>
      <c r="AP36" s="351">
        <f>IF($W36=$F$16,$P$63,0)</f>
        <v/>
      </c>
      <c r="AQ36" s="351">
        <f>IF($W36=$F$16,$P$62,0)</f>
        <v/>
      </c>
      <c r="AR36" s="345">
        <f>IF($W36&lt;$O$16,IF(W36=$F$16,$U$92,$U$93),0)</f>
        <v/>
      </c>
      <c r="AS36" s="346">
        <f>SUM(AO36:AP36,AR36)</f>
        <v/>
      </c>
      <c r="AT36" s="345">
        <f>IF(W36=$F$16,$P$30,0)</f>
        <v/>
      </c>
      <c r="AU36" s="345">
        <f>IFERROR(-PPMT($P$36,W36-$F$16,$F$17,SUM(P$31,P$51)),0)</f>
        <v/>
      </c>
      <c r="AV36" s="345">
        <f>IFERROR(-IPMT($P$36,W36-$F$16,$F$17,SUM($P$31,$P$51)),0)</f>
        <v/>
      </c>
      <c r="AW36" s="345">
        <f>IF(AND(W36&gt;$F$16,W36&lt;=SUM($F$16:$F$17)),$P$43,0)</f>
        <v/>
      </c>
      <c r="AX36" s="345">
        <f>IF($W36=1,$F$44,0)+IF(AND($W36&gt;0,$W36&lt;=$O$16),$F$45,0)</f>
        <v/>
      </c>
      <c r="AY36" s="345">
        <f>IF(AND(W36&gt;$F$16,W36&lt;=SUM($F$16:$F$17)),$P$54,0)</f>
        <v/>
      </c>
      <c r="AZ36" s="345">
        <f>IF(AND(SUM($AQ$16:AQ35)&gt;0,SUM($AZ$16:AZ35)&lt;$P$62,$W36&gt;=$P$65),$P$64,0)</f>
        <v/>
      </c>
      <c r="BA36" s="345">
        <f>IF(SUM($AQ$17:$AQ35)&gt;0,($P$62-SUM($AZ$17:$AZ35))*$F$65,0)</f>
        <v/>
      </c>
      <c r="BB36" s="346">
        <f>SUM(AT36:AY36)</f>
        <v/>
      </c>
      <c r="BC36" s="351">
        <f>AS36-BB36</f>
        <v/>
      </c>
      <c r="BD36" s="352">
        <f>BC36*$BF36</f>
        <v/>
      </c>
      <c r="BE36" s="337" t="n"/>
      <c r="BF36" s="46">
        <f>BF35/(1+$O$22)</f>
        <v/>
      </c>
      <c r="BH36" s="350">
        <f>AT36</f>
        <v/>
      </c>
      <c r="BI36" s="350">
        <f>AU36</f>
        <v/>
      </c>
      <c r="BJ36" s="351">
        <f>AV36</f>
        <v/>
      </c>
      <c r="BK36" s="351">
        <f>AW36</f>
        <v/>
      </c>
      <c r="BL36" s="351">
        <f>AY36</f>
        <v/>
      </c>
      <c r="BM36" s="351">
        <f>IF($W36&gt;$F$16,$F$56,0)</f>
        <v/>
      </c>
      <c r="BN36" s="352">
        <f>SUM(BH36:BM36)</f>
        <v/>
      </c>
      <c r="BO36" s="351">
        <f>IF($W36=$F$16,$P$32,0)</f>
        <v/>
      </c>
      <c r="BP36" s="351">
        <f>IF(AND(W36&gt;$F$16,W36&lt;=SUM($F$16:$F$17)),$P$41,0)</f>
        <v/>
      </c>
      <c r="BQ36" s="351">
        <f>IFERROR(-IPMT($P$67,W36-$F$16,$F$17,SUM(P$31,P$51)),0)</f>
        <v/>
      </c>
      <c r="BR36" s="351">
        <f>IF($W36&lt;=$O$16,$F$105,0)</f>
        <v/>
      </c>
      <c r="BS36" s="353">
        <f>IF($W36=1,SUM($O$103,$O$105),0)</f>
        <v/>
      </c>
      <c r="BT36" s="351">
        <f>IF($W36&lt;$O$16,IF(W36=$F$16,$P$93,$P$94),0)</f>
        <v/>
      </c>
      <c r="BU36" s="352">
        <f>SUM(BO36:BP36,BR36:BT36)</f>
        <v/>
      </c>
      <c r="BV36" s="352">
        <f>BN36-BU36</f>
        <v/>
      </c>
      <c r="BW36" s="342" t="n"/>
      <c r="BX36" s="338">
        <f>IFERROR(-PPMT($P$67,$W36-$F$16,$F$17,SUM(P$31,P$51)),0)</f>
        <v/>
      </c>
      <c r="BY36" s="356">
        <f>IF(BV36-BX36&gt;=0,0,1)</f>
        <v/>
      </c>
      <c r="CA36" s="0" t="n"/>
    </row>
    <row r="37" ht="15.75" customHeight="1" s="302">
      <c r="C37" s="2" t="inlineStr">
        <is>
          <t>スプレッド</t>
        </is>
      </c>
      <c r="D37" s="0" t="inlineStr">
        <is>
          <t>％</t>
        </is>
      </c>
      <c r="F37" s="15" t="n">
        <v>0</v>
      </c>
      <c r="H37" s="150" t="inlineStr">
        <is>
          <t>割賦払なし</t>
        </is>
      </c>
      <c r="V37" s="58">
        <f>IF(W37=1,DATE(YEAR($F$18)+(MONTH($F$18)&gt;=4),4,0),EOMONTH(V36,12))</f>
        <v/>
      </c>
      <c r="W37" s="26" t="n">
        <v>21</v>
      </c>
      <c r="X37" s="282">
        <f>IF(W37&gt;$O$16,"-",IF($W37&lt;=$F$16,"整備期間","維持管理・運営期間"))</f>
        <v/>
      </c>
      <c r="Y37" s="344">
        <f>IF($W37=$F$16,$O$61,0)</f>
        <v/>
      </c>
      <c r="Z37" s="345">
        <f>IF($W37=$F$16,$O$63,0)</f>
        <v/>
      </c>
      <c r="AA37" s="345">
        <f>IF($W37=$F$16,$O$62,0)</f>
        <v/>
      </c>
      <c r="AB37" s="345">
        <f>IF(X37="維持管理・運営期間",$F$56,0)</f>
        <v/>
      </c>
      <c r="AC37" s="346">
        <f>SUM(Y37:Z37,AB37)</f>
        <v/>
      </c>
      <c r="AD37" s="344">
        <f>IF($W37=$F$16,$O$30,0)</f>
        <v/>
      </c>
      <c r="AE37" s="345">
        <f>IF($X37="維持管理・運営期間",$O$41,0)</f>
        <v/>
      </c>
      <c r="AF37" s="345">
        <f>IF(AND($W37&gt;0,$W37&lt;=$O$16),$E$45,0)</f>
        <v/>
      </c>
      <c r="AG37" s="345">
        <f>IF(AND(SUM($AA$16:AA36)&gt;0,SUM($AG$16:AG36)&lt;$O$62,$W37&gt;=$O$65),$O$64,0)</f>
        <v/>
      </c>
      <c r="AH37" s="351">
        <f>IF(SUM($AA$17:$AA36)&gt;0,($O$62-SUM($AG$17:$AG36))*$F$65,0)</f>
        <v/>
      </c>
      <c r="AI37" s="346">
        <f>SUM(AD37:AF37)</f>
        <v/>
      </c>
      <c r="AJ37" s="351">
        <f>AC37-AI37</f>
        <v/>
      </c>
      <c r="AK37" s="338">
        <f>(SUM($P$31,$P$51)-SUM($AU$17:AU36))*$O$109</f>
        <v/>
      </c>
      <c r="AL37" s="348" t="n"/>
      <c r="AM37" s="352">
        <f>AJ37*$BF37</f>
        <v/>
      </c>
      <c r="AN37" s="349" t="n"/>
      <c r="AO37" s="350">
        <f>IF($W37=$F$16,$P$61,0)</f>
        <v/>
      </c>
      <c r="AP37" s="351">
        <f>IF($W37=$F$16,$P$63,0)</f>
        <v/>
      </c>
      <c r="AQ37" s="351">
        <f>IF($W37=$F$16,$P$62,0)</f>
        <v/>
      </c>
      <c r="AR37" s="345">
        <f>IF($W37&lt;$O$16,IF(W37=$F$16,$U$92,$U$93),0)</f>
        <v/>
      </c>
      <c r="AS37" s="346">
        <f>SUM(AO37:AP37,AR37)</f>
        <v/>
      </c>
      <c r="AT37" s="345">
        <f>IF(W37=$F$16,$P$30,0)</f>
        <v/>
      </c>
      <c r="AU37" s="345">
        <f>IFERROR(-PPMT($P$36,W37-$F$16,$F$17,SUM(P$31,P$51)),0)</f>
        <v/>
      </c>
      <c r="AV37" s="345">
        <f>IFERROR(-IPMT($P$36,W37-$F$16,$F$17,SUM($P$31,$P$51)),0)</f>
        <v/>
      </c>
      <c r="AW37" s="345">
        <f>IF(AND(W37&gt;$F$16,W37&lt;=SUM($F$16:$F$17)),$P$43,0)</f>
        <v/>
      </c>
      <c r="AX37" s="345">
        <f>IF($W37=1,$F$44,0)+IF(AND($W37&gt;0,$W37&lt;=$O$16),$F$45,0)</f>
        <v/>
      </c>
      <c r="AY37" s="345">
        <f>IF(AND(W37&gt;$F$16,W37&lt;=SUM($F$16:$F$17)),$P$54,0)</f>
        <v/>
      </c>
      <c r="AZ37" s="345">
        <f>IF(AND(SUM($AQ$16:AQ36)&gt;0,SUM($AZ$16:AZ36)&lt;$P$62,$W37&gt;=$P$65),$P$64,0)</f>
        <v/>
      </c>
      <c r="BA37" s="345">
        <f>IF(SUM($AQ$17:$AQ36)&gt;0,($P$62-SUM($AZ$17:$AZ36))*$F$65,0)</f>
        <v/>
      </c>
      <c r="BB37" s="346">
        <f>SUM(AT37:AY37)</f>
        <v/>
      </c>
      <c r="BC37" s="351">
        <f>AS37-BB37</f>
        <v/>
      </c>
      <c r="BD37" s="352">
        <f>BC37*$BF37</f>
        <v/>
      </c>
      <c r="BE37" s="337" t="n"/>
      <c r="BF37" s="46">
        <f>BF36/(1+$O$22)</f>
        <v/>
      </c>
      <c r="BH37" s="350">
        <f>AT37</f>
        <v/>
      </c>
      <c r="BI37" s="350">
        <f>AU37</f>
        <v/>
      </c>
      <c r="BJ37" s="351">
        <f>AV37</f>
        <v/>
      </c>
      <c r="BK37" s="351">
        <f>AW37</f>
        <v/>
      </c>
      <c r="BL37" s="351">
        <f>AY37</f>
        <v/>
      </c>
      <c r="BM37" s="351">
        <f>IF($W37&gt;$F$16,$F$56,0)</f>
        <v/>
      </c>
      <c r="BN37" s="352">
        <f>SUM(BH37:BM37)</f>
        <v/>
      </c>
      <c r="BO37" s="351">
        <f>IF($W37=$F$16,$P$32,0)</f>
        <v/>
      </c>
      <c r="BP37" s="351">
        <f>IF(AND(W37&gt;$F$16,W37&lt;=SUM($F$16:$F$17)),$P$41,0)</f>
        <v/>
      </c>
      <c r="BQ37" s="351">
        <f>IFERROR(-IPMT($P$67,W37-$F$16,$F$17,SUM(P$31,P$51)),0)</f>
        <v/>
      </c>
      <c r="BR37" s="351">
        <f>IF($W37&lt;=$O$16,$F$105,0)</f>
        <v/>
      </c>
      <c r="BS37" s="353">
        <f>IF($W37=1,SUM($O$103,$O$105),0)</f>
        <v/>
      </c>
      <c r="BT37" s="351">
        <f>IF($W37&lt;$O$16,IF(W37=$F$16,$P$93,$P$94),0)</f>
        <v/>
      </c>
      <c r="BU37" s="352">
        <f>SUM(BO37:BP37,BR37:BT37)</f>
        <v/>
      </c>
      <c r="BV37" s="352">
        <f>BN37-BU37</f>
        <v/>
      </c>
      <c r="BW37" s="342" t="n"/>
      <c r="BX37" s="338">
        <f>IFERROR(-PPMT($P$67,$W37-$F$16,$F$17,SUM(P$31,P$51)),0)</f>
        <v/>
      </c>
      <c r="BY37" s="356">
        <f>IF(BV37-BX37&gt;=0,0,1)</f>
        <v/>
      </c>
      <c r="CA37" s="0" t="n"/>
    </row>
    <row r="38" ht="15.75" customHeight="1" s="302">
      <c r="C38" s="99" t="n"/>
      <c r="D38" s="101" t="inlineStr">
        <is>
          <t>Checks:割賦＞SPC収支</t>
        </is>
      </c>
      <c r="E38" s="100" t="n"/>
      <c r="F38" s="363">
        <f>BY15</f>
        <v/>
      </c>
      <c r="V38" s="58">
        <f>IF(W38=1,DATE(YEAR($F$18)+(MONTH($F$18)&gt;=4),4,0),EOMONTH(V37,12))</f>
        <v/>
      </c>
      <c r="W38" s="26" t="n">
        <v>22</v>
      </c>
      <c r="X38" s="282">
        <f>IF(W38&gt;$O$16,"-",IF($W38&lt;=$F$16,"整備期間","維持管理・運営期間"))</f>
        <v/>
      </c>
      <c r="Y38" s="344">
        <f>IF($W38=$F$16,$O$61,0)</f>
        <v/>
      </c>
      <c r="Z38" s="345">
        <f>IF($W38=$F$16,$O$63,0)</f>
        <v/>
      </c>
      <c r="AA38" s="345">
        <f>IF($W38=$F$16,$O$62,0)</f>
        <v/>
      </c>
      <c r="AB38" s="345">
        <f>IF(X38="維持管理・運営期間",$F$56,0)</f>
        <v/>
      </c>
      <c r="AC38" s="346">
        <f>SUM(Y38:Z38,AB38)</f>
        <v/>
      </c>
      <c r="AD38" s="344">
        <f>IF($W38=$F$16,$O$30,0)</f>
        <v/>
      </c>
      <c r="AE38" s="345">
        <f>IF($X38="維持管理・運営期間",$O$41,0)</f>
        <v/>
      </c>
      <c r="AF38" s="345">
        <f>IF(AND($W38&gt;0,$W38&lt;=$O$16),$E$45,0)</f>
        <v/>
      </c>
      <c r="AG38" s="345">
        <f>IF(AND(SUM($AA$16:AA37)&gt;0,SUM($AG$16:AG37)&lt;$O$62,$W38&gt;=$O$65),$O$64,0)</f>
        <v/>
      </c>
      <c r="AH38" s="351">
        <f>IF(SUM($AA$17:$AA37)&gt;0,($O$62-SUM($AG$17:$AG37))*$F$65,0)</f>
        <v/>
      </c>
      <c r="AI38" s="346">
        <f>SUM(AD38:AF38)</f>
        <v/>
      </c>
      <c r="AJ38" s="351">
        <f>AC38-AI38</f>
        <v/>
      </c>
      <c r="AK38" s="338">
        <f>(SUM($P$31,$P$51)-SUM($AU$17:AU37))*$O$109</f>
        <v/>
      </c>
      <c r="AL38" s="348" t="n"/>
      <c r="AM38" s="352">
        <f>AJ38*$BF38</f>
        <v/>
      </c>
      <c r="AN38" s="349" t="n"/>
      <c r="AO38" s="350">
        <f>IF($W38=$F$16,$P$61,0)</f>
        <v/>
      </c>
      <c r="AP38" s="351">
        <f>IF($W38=$F$16,$P$63,0)</f>
        <v/>
      </c>
      <c r="AQ38" s="351">
        <f>IF($W38=$F$16,$P$62,0)</f>
        <v/>
      </c>
      <c r="AR38" s="345">
        <f>IF($W38&lt;$O$16,IF(W38=$F$16,$U$92,$U$93),0)</f>
        <v/>
      </c>
      <c r="AS38" s="346">
        <f>SUM(AO38:AP38,AR38)</f>
        <v/>
      </c>
      <c r="AT38" s="345">
        <f>IF(W38=$F$16,$P$30,0)</f>
        <v/>
      </c>
      <c r="AU38" s="345">
        <f>IFERROR(-PPMT($P$36,W38-$F$16,$F$17,SUM(P$31,P$51)),0)</f>
        <v/>
      </c>
      <c r="AV38" s="345">
        <f>IFERROR(-IPMT($P$36,W38-$F$16,$F$17,SUM($P$31,$P$51)),0)</f>
        <v/>
      </c>
      <c r="AW38" s="345">
        <f>IF(AND(W38&gt;$F$16,W38&lt;=SUM($F$16:$F$17)),$P$43,0)</f>
        <v/>
      </c>
      <c r="AX38" s="345">
        <f>IF($W38=1,$F$44,0)+IF(AND($W38&gt;0,$W38&lt;=$O$16),$F$45,0)</f>
        <v/>
      </c>
      <c r="AY38" s="345">
        <f>IF(AND(W38&gt;$F$16,W38&lt;=SUM($F$16:$F$17)),$P$54,0)</f>
        <v/>
      </c>
      <c r="AZ38" s="345">
        <f>IF(AND(SUM($AQ$16:AQ37)&gt;0,SUM($AZ$16:AZ37)&lt;$P$62,$W38&gt;=$P$65),$P$64,0)</f>
        <v/>
      </c>
      <c r="BA38" s="345">
        <f>IF(SUM($AQ$17:$AQ37)&gt;0,($P$62-SUM($AZ$17:$AZ37))*$F$65,0)</f>
        <v/>
      </c>
      <c r="BB38" s="346">
        <f>SUM(AT38:AY38)</f>
        <v/>
      </c>
      <c r="BC38" s="351">
        <f>AS38-BB38</f>
        <v/>
      </c>
      <c r="BD38" s="352">
        <f>BC38*$BF38</f>
        <v/>
      </c>
      <c r="BE38" s="337" t="n"/>
      <c r="BF38" s="46">
        <f>BF37/(1+$O$22)</f>
        <v/>
      </c>
      <c r="BH38" s="350">
        <f>AT38</f>
        <v/>
      </c>
      <c r="BI38" s="350">
        <f>AU38</f>
        <v/>
      </c>
      <c r="BJ38" s="351">
        <f>AV38</f>
        <v/>
      </c>
      <c r="BK38" s="351">
        <f>AW38</f>
        <v/>
      </c>
      <c r="BL38" s="351">
        <f>AY38</f>
        <v/>
      </c>
      <c r="BM38" s="351">
        <f>IF($W38&gt;$F$16,$F$56,0)</f>
        <v/>
      </c>
      <c r="BN38" s="352">
        <f>SUM(BH38:BM38)</f>
        <v/>
      </c>
      <c r="BO38" s="351">
        <f>IF($W38=$F$16,$P$32,0)</f>
        <v/>
      </c>
      <c r="BP38" s="351">
        <f>IF(AND(W38&gt;$F$16,W38&lt;=SUM($F$16:$F$17)),$P$41,0)</f>
        <v/>
      </c>
      <c r="BQ38" s="351">
        <f>IFERROR(-IPMT($P$67,W38-$F$16,$F$17,SUM(P$31,P$51)),0)</f>
        <v/>
      </c>
      <c r="BR38" s="351">
        <f>IF($W38&lt;=$O$16,$F$105,0)</f>
        <v/>
      </c>
      <c r="BS38" s="353">
        <f>IF($W38=1,SUM($O$103,$O$105),0)</f>
        <v/>
      </c>
      <c r="BT38" s="351">
        <f>IF($W38&lt;$O$16,IF(W38=$F$16,$P$93,$P$94),0)</f>
        <v/>
      </c>
      <c r="BU38" s="352">
        <f>SUM(BO38:BP38,BR38:BT38)</f>
        <v/>
      </c>
      <c r="BV38" s="352">
        <f>BN38-BU38</f>
        <v/>
      </c>
      <c r="BW38" s="342" t="n"/>
      <c r="BX38" s="338">
        <f>IFERROR(-PPMT($P$67,$W38-$F$16,$F$17,SUM(P$31,P$51)),0)</f>
        <v/>
      </c>
      <c r="BY38" s="356">
        <f>IF(BV38-BX38&gt;=0,0,1)</f>
        <v/>
      </c>
      <c r="CA38" s="0" t="n"/>
    </row>
    <row r="39" ht="15.75" customHeight="1" s="302">
      <c r="V39" s="58">
        <f>IF(W39=1,DATE(YEAR($F$18)+(MONTH($F$18)&gt;=4),4,0),EOMONTH(V38,12))</f>
        <v/>
      </c>
      <c r="W39" s="26" t="n">
        <v>23</v>
      </c>
      <c r="X39" s="282">
        <f>IF(W39&gt;$O$16,"-",IF($W39&lt;=$F$16,"整備期間","維持管理・運営期間"))</f>
        <v/>
      </c>
      <c r="Y39" s="344">
        <f>IF($W39=$F$16,$O$61,0)</f>
        <v/>
      </c>
      <c r="Z39" s="345">
        <f>IF($W39=$F$16,$O$63,0)</f>
        <v/>
      </c>
      <c r="AA39" s="345">
        <f>IF($W39=$F$16,$O$62,0)</f>
        <v/>
      </c>
      <c r="AB39" s="345">
        <f>IF(X39="維持管理・運営期間",$F$56,0)</f>
        <v/>
      </c>
      <c r="AC39" s="346">
        <f>SUM(Y39:Z39,AB39)</f>
        <v/>
      </c>
      <c r="AD39" s="344">
        <f>IF($W39=$F$16,$O$30,0)</f>
        <v/>
      </c>
      <c r="AE39" s="345">
        <f>IF($X39="維持管理・運営期間",$O$41,0)</f>
        <v/>
      </c>
      <c r="AF39" s="345">
        <f>IF(AND($W39&gt;0,$W39&lt;=$O$16),$E$45,0)</f>
        <v/>
      </c>
      <c r="AG39" s="345">
        <f>IF(AND(SUM($AA$16:AA38)&gt;0,SUM($AG$16:AG38)&lt;$O$62,$W39&gt;=$O$65),$O$64,0)</f>
        <v/>
      </c>
      <c r="AH39" s="351">
        <f>IF(SUM($AA$17:$AA38)&gt;0,($O$62-SUM($AG$17:$AG38))*$F$65,0)</f>
        <v/>
      </c>
      <c r="AI39" s="346">
        <f>SUM(AD39:AF39)</f>
        <v/>
      </c>
      <c r="AJ39" s="351">
        <f>AC39-AI39</f>
        <v/>
      </c>
      <c r="AK39" s="338">
        <f>(SUM($P$31,$P$51)-SUM($AU$17:AU38))*$O$109</f>
        <v/>
      </c>
      <c r="AL39" s="348" t="n"/>
      <c r="AM39" s="352">
        <f>AJ39*$BF39</f>
        <v/>
      </c>
      <c r="AN39" s="349" t="n"/>
      <c r="AO39" s="350">
        <f>IF($W39=$F$16,$P$61,0)</f>
        <v/>
      </c>
      <c r="AP39" s="351">
        <f>IF($W39=$F$16,$P$63,0)</f>
        <v/>
      </c>
      <c r="AQ39" s="351">
        <f>IF($W39=$F$16,$P$62,0)</f>
        <v/>
      </c>
      <c r="AR39" s="345">
        <f>IF($W39&lt;$O$16,IF(W39=$F$16,$U$92,$U$93),0)</f>
        <v/>
      </c>
      <c r="AS39" s="346">
        <f>SUM(AO39:AP39,AR39)</f>
        <v/>
      </c>
      <c r="AT39" s="345">
        <f>IF(W39=$F$16,$P$30,0)</f>
        <v/>
      </c>
      <c r="AU39" s="345">
        <f>IFERROR(-PPMT($P$36,W39-$F$16,$F$17,SUM(P$31,P$51)),0)</f>
        <v/>
      </c>
      <c r="AV39" s="345">
        <f>IFERROR(-IPMT($P$36,W39-$F$16,$F$17,SUM($P$31,$P$51)),0)</f>
        <v/>
      </c>
      <c r="AW39" s="345">
        <f>IF(AND(W39&gt;$F$16,W39&lt;=SUM($F$16:$F$17)),$P$43,0)</f>
        <v/>
      </c>
      <c r="AX39" s="345">
        <f>IF($W39=1,$F$44,0)+IF(AND($W39&gt;0,$W39&lt;=$O$16),$F$45,0)</f>
        <v/>
      </c>
      <c r="AY39" s="345">
        <f>IF(AND(W39&gt;$F$16,W39&lt;=SUM($F$16:$F$17)),$P$54,0)</f>
        <v/>
      </c>
      <c r="AZ39" s="345">
        <f>IF(AND(SUM($AQ$16:AQ38)&gt;0,SUM($AZ$16:AZ38)&lt;$P$62,$W39&gt;=$P$65),$P$64,0)</f>
        <v/>
      </c>
      <c r="BA39" s="345">
        <f>IF(SUM($AQ$17:$AQ38)&gt;0,($P$62-SUM($AZ$17:$AZ38))*$F$65,0)</f>
        <v/>
      </c>
      <c r="BB39" s="346">
        <f>SUM(AT39:AY39)</f>
        <v/>
      </c>
      <c r="BC39" s="351">
        <f>AS39-BB39</f>
        <v/>
      </c>
      <c r="BD39" s="352">
        <f>BC39*$BF39</f>
        <v/>
      </c>
      <c r="BE39" s="337" t="n"/>
      <c r="BF39" s="46">
        <f>BF38/(1+$O$22)</f>
        <v/>
      </c>
      <c r="BH39" s="350">
        <f>AT39</f>
        <v/>
      </c>
      <c r="BI39" s="350">
        <f>AU39</f>
        <v/>
      </c>
      <c r="BJ39" s="351">
        <f>AV39</f>
        <v/>
      </c>
      <c r="BK39" s="351">
        <f>AW39</f>
        <v/>
      </c>
      <c r="BL39" s="351">
        <f>AY39</f>
        <v/>
      </c>
      <c r="BM39" s="351">
        <f>IF($W39&gt;$F$16,$F$56,0)</f>
        <v/>
      </c>
      <c r="BN39" s="352">
        <f>SUM(BH39:BM39)</f>
        <v/>
      </c>
      <c r="BO39" s="351">
        <f>IF($W39=$F$16,$P$32,0)</f>
        <v/>
      </c>
      <c r="BP39" s="351">
        <f>IF(AND(W39&gt;$F$16,W39&lt;=SUM($F$16:$F$17)),$P$41,0)</f>
        <v/>
      </c>
      <c r="BQ39" s="351">
        <f>IFERROR(-IPMT($P$67,W39-$F$16,$F$17,SUM(P$31,P$51)),0)</f>
        <v/>
      </c>
      <c r="BR39" s="351">
        <f>IF($W39&lt;=$O$16,$F$105,0)</f>
        <v/>
      </c>
      <c r="BS39" s="353">
        <f>IF($W39=1,SUM($O$103,$O$105),0)</f>
        <v/>
      </c>
      <c r="BT39" s="351">
        <f>IF($W39&lt;$O$16,IF(W39=$F$16,$P$93,$P$94),0)</f>
        <v/>
      </c>
      <c r="BU39" s="352">
        <f>SUM(BO39:BP39,BR39:BT39)</f>
        <v/>
      </c>
      <c r="BV39" s="352">
        <f>BN39-BU39</f>
        <v/>
      </c>
      <c r="BW39" s="342" t="n"/>
      <c r="BX39" s="338">
        <f>IFERROR(-PPMT($P$67,$W39-$F$16,$F$17,SUM(P$31,P$51)),0)</f>
        <v/>
      </c>
      <c r="BY39" s="356">
        <f>IF(BV39-BX39&gt;=0,0,1)</f>
        <v/>
      </c>
      <c r="CA39" s="0" t="n"/>
    </row>
    <row r="40" ht="15.75" customHeight="1" s="302">
      <c r="B40" s="0" t="inlineStr">
        <is>
          <t>2.3維持管理運営費用（年額）</t>
        </is>
      </c>
      <c r="D40" s="0" t="inlineStr">
        <is>
          <t>百万円</t>
        </is>
      </c>
      <c r="F40" s="139" t="n"/>
      <c r="H40" s="72" t="inlineStr">
        <is>
          <t>維持管理・運営なし</t>
        </is>
      </c>
      <c r="J40" s="4" t="inlineStr">
        <is>
          <t>2.3 維持管理運営費用（年額）</t>
        </is>
      </c>
      <c r="V40" s="58">
        <f>IF(W40=1,DATE(YEAR($F$18)+(MONTH($F$18)&gt;=4),4,0),EOMONTH(V39,12))</f>
        <v/>
      </c>
      <c r="W40" s="26" t="n">
        <v>24</v>
      </c>
      <c r="X40" s="282">
        <f>IF(W40&gt;$O$16,"-",IF($W40&lt;=$F$16,"整備期間","維持管理・運営期間"))</f>
        <v/>
      </c>
      <c r="Y40" s="344">
        <f>IF($W40=$F$16,$O$61,0)</f>
        <v/>
      </c>
      <c r="Z40" s="345">
        <f>IF($W40=$F$16,$O$63,0)</f>
        <v/>
      </c>
      <c r="AA40" s="345">
        <f>IF($W40=$F$16,$O$62,0)</f>
        <v/>
      </c>
      <c r="AB40" s="345">
        <f>IF(X40="維持管理・運営期間",$F$56,0)</f>
        <v/>
      </c>
      <c r="AC40" s="346">
        <f>SUM(Y40:Z40,AB40)</f>
        <v/>
      </c>
      <c r="AD40" s="344">
        <f>IF($W40=$F$16,$O$30,0)</f>
        <v/>
      </c>
      <c r="AE40" s="345">
        <f>IF($X40="維持管理・運営期間",$O$41,0)</f>
        <v/>
      </c>
      <c r="AF40" s="345">
        <f>IF(AND($W40&gt;0,$W40&lt;=$O$16),$E$45,0)</f>
        <v/>
      </c>
      <c r="AG40" s="345">
        <f>IF(AND(SUM($AA$16:AA39)&gt;0,SUM($AG$16:AG39)&lt;$O$62,$W40&gt;=$O$65),$O$64,0)</f>
        <v/>
      </c>
      <c r="AH40" s="351">
        <f>IF(SUM($AA$17:$AA39)&gt;0,($O$62-SUM($AG$17:$AG39))*$F$65,0)</f>
        <v/>
      </c>
      <c r="AI40" s="346">
        <f>SUM(AD40:AF40)</f>
        <v/>
      </c>
      <c r="AJ40" s="351">
        <f>AC40-AI40</f>
        <v/>
      </c>
      <c r="AK40" s="338">
        <f>(SUM($P$31,$P$51)-SUM($AU$17:AU39))*$O$109</f>
        <v/>
      </c>
      <c r="AL40" s="348" t="n"/>
      <c r="AM40" s="352">
        <f>AJ40*$BF40</f>
        <v/>
      </c>
      <c r="AN40" s="349" t="n"/>
      <c r="AO40" s="350">
        <f>IF($W40=$F$16,$P$61,0)</f>
        <v/>
      </c>
      <c r="AP40" s="351">
        <f>IF($W40=$F$16,$P$63,0)</f>
        <v/>
      </c>
      <c r="AQ40" s="351">
        <f>IF($W40=$F$16,$P$62,0)</f>
        <v/>
      </c>
      <c r="AR40" s="345">
        <f>IF($W40&lt;$O$16,IF(W40=$F$16,$U$92,$U$93),0)</f>
        <v/>
      </c>
      <c r="AS40" s="346">
        <f>SUM(AO40:AP40,AR40)</f>
        <v/>
      </c>
      <c r="AT40" s="345">
        <f>IF(W40=$F$16,$P$30,0)</f>
        <v/>
      </c>
      <c r="AU40" s="345">
        <f>IFERROR(-PPMT($P$36,W40-$F$16,$F$17,SUM(P$31,P$51)),0)</f>
        <v/>
      </c>
      <c r="AV40" s="345">
        <f>IFERROR(-IPMT($P$36,W40-$F$16,$F$17,SUM($P$31,$P$51)),0)</f>
        <v/>
      </c>
      <c r="AW40" s="345">
        <f>IF(AND(W40&gt;$F$16,W40&lt;=SUM($F$16:$F$17)),$P$43,0)</f>
        <v/>
      </c>
      <c r="AX40" s="345">
        <f>IF($W40=1,$F$44,0)+IF(AND($W40&gt;0,$W40&lt;=$O$16),$F$45,0)</f>
        <v/>
      </c>
      <c r="AY40" s="345">
        <f>IF(AND(W40&gt;$F$16,W40&lt;=SUM($F$16:$F$17)),$P$54,0)</f>
        <v/>
      </c>
      <c r="AZ40" s="345">
        <f>IF(AND(SUM($AQ$16:AQ39)&gt;0,SUM($AZ$16:AZ39)&lt;$P$62,$W40&gt;=$P$65),$P$64,0)</f>
        <v/>
      </c>
      <c r="BA40" s="345">
        <f>IF(SUM($AQ$17:$AQ39)&gt;0,($P$62-SUM($AZ$17:$AZ39))*$F$65,0)</f>
        <v/>
      </c>
      <c r="BB40" s="346">
        <f>SUM(AT40:AY40)</f>
        <v/>
      </c>
      <c r="BC40" s="351">
        <f>AS40-BB40</f>
        <v/>
      </c>
      <c r="BD40" s="352">
        <f>BC40*$BF40</f>
        <v/>
      </c>
      <c r="BE40" s="337" t="n"/>
      <c r="BF40" s="46">
        <f>BF39/(1+$O$22)</f>
        <v/>
      </c>
      <c r="BH40" s="350">
        <f>AT40</f>
        <v/>
      </c>
      <c r="BI40" s="350">
        <f>AU40</f>
        <v/>
      </c>
      <c r="BJ40" s="351">
        <f>AV40</f>
        <v/>
      </c>
      <c r="BK40" s="351">
        <f>AW40</f>
        <v/>
      </c>
      <c r="BL40" s="351">
        <f>AY40</f>
        <v/>
      </c>
      <c r="BM40" s="351">
        <f>IF($W40&gt;$F$16,$F$56,0)</f>
        <v/>
      </c>
      <c r="BN40" s="352">
        <f>SUM(BH40:BM40)</f>
        <v/>
      </c>
      <c r="BO40" s="351">
        <f>IF($W40=$F$16,$P$32,0)</f>
        <v/>
      </c>
      <c r="BP40" s="351">
        <f>IF(AND(W40&gt;$F$16,W40&lt;=SUM($F$16:$F$17)),$P$41,0)</f>
        <v/>
      </c>
      <c r="BQ40" s="351">
        <f>IFERROR(-IPMT($P$67,W40-$F$16,$F$17,SUM(P$31,P$51)),0)</f>
        <v/>
      </c>
      <c r="BR40" s="351">
        <f>IF($W40&lt;=$O$16,$F$105,0)</f>
        <v/>
      </c>
      <c r="BS40" s="353">
        <f>IF($W40=1,SUM($O$103,$O$105),0)</f>
        <v/>
      </c>
      <c r="BT40" s="351">
        <f>IF($W40&lt;$O$16,IF(W40=$F$16,$P$93,$P$94),0)</f>
        <v/>
      </c>
      <c r="BU40" s="352">
        <f>SUM(BO40:BP40,BR40:BT40)</f>
        <v/>
      </c>
      <c r="BV40" s="352">
        <f>BN40-BU40</f>
        <v/>
      </c>
      <c r="BW40" s="342" t="n"/>
      <c r="BX40" s="338">
        <f>IFERROR(-PPMT($P$67,$W40-$F$16,$F$17,SUM(P$31,P$51)),0)</f>
        <v/>
      </c>
      <c r="BY40" s="356">
        <f>IF(BV40-BX40&gt;=0,0,1)</f>
        <v/>
      </c>
      <c r="CA40" s="0" t="n"/>
    </row>
    <row r="41" ht="15.75" customHeight="1" s="302">
      <c r="C41" s="2" t="inlineStr">
        <is>
          <t>うち、過去の落札価格を反映</t>
        </is>
      </c>
      <c r="D41" s="0" t="inlineStr">
        <is>
          <t>百万円</t>
        </is>
      </c>
      <c r="F41" s="139" t="n"/>
      <c r="K41" s="0" t="inlineStr">
        <is>
          <t>維持管理運営費用（年額）</t>
        </is>
      </c>
      <c r="N41" s="19" t="inlineStr">
        <is>
          <t>百万円</t>
        </is>
      </c>
      <c r="O41" s="364">
        <f>F40</f>
        <v/>
      </c>
      <c r="P41" s="365">
        <f>F40*(1-F52)</f>
        <v/>
      </c>
      <c r="Q41" s="0" t="inlineStr">
        <is>
          <t>PSCは競争の効果反映、LCCは削減率を反映</t>
        </is>
      </c>
      <c r="V41" s="58">
        <f>IF(W41=1,DATE(YEAR($F$18)+(MONTH($F$18)&gt;=4),4,0),EOMONTH(V40,12))</f>
        <v/>
      </c>
      <c r="W41" s="26" t="n">
        <v>25</v>
      </c>
      <c r="X41" s="282">
        <f>IF(W41&gt;$O$16,"-",IF($W41&lt;=$F$16,"整備期間","維持管理・運営期間"))</f>
        <v/>
      </c>
      <c r="Y41" s="344">
        <f>IF($W41=$F$16,$O$61,0)</f>
        <v/>
      </c>
      <c r="Z41" s="345">
        <f>IF($W41=$F$16,$O$63,0)</f>
        <v/>
      </c>
      <c r="AA41" s="345">
        <f>IF($W41=$F$16,$O$62,0)</f>
        <v/>
      </c>
      <c r="AB41" s="345">
        <f>IF(X41="維持管理・運営期間",$F$56,0)</f>
        <v/>
      </c>
      <c r="AC41" s="346">
        <f>SUM(Y41:Z41,AB41)</f>
        <v/>
      </c>
      <c r="AD41" s="344">
        <f>IF($W41=$F$16,$O$30,0)</f>
        <v/>
      </c>
      <c r="AE41" s="345">
        <f>IF($X41="維持管理・運営期間",$O$41,0)</f>
        <v/>
      </c>
      <c r="AF41" s="345">
        <f>IF(AND($W41&gt;0,$W41&lt;=$O$16),$E$45,0)</f>
        <v/>
      </c>
      <c r="AG41" s="345">
        <f>IF(AND(SUM($AA$16:AA40)&gt;0,SUM($AG$16:AG40)&lt;$O$62,$W41&gt;=$O$65),$O$64,0)</f>
        <v/>
      </c>
      <c r="AH41" s="351">
        <f>IF(SUM($AA$17:$AA40)&gt;0,($O$62-SUM($AG$17:$AG40))*$F$65,0)</f>
        <v/>
      </c>
      <c r="AI41" s="346">
        <f>SUM(AD41:AF41)</f>
        <v/>
      </c>
      <c r="AJ41" s="351">
        <f>AC41-AI41</f>
        <v/>
      </c>
      <c r="AK41" s="338">
        <f>(SUM($P$31,$P$51)-SUM($AU$17:AU40))*$O$109</f>
        <v/>
      </c>
      <c r="AL41" s="348" t="n"/>
      <c r="AM41" s="352">
        <f>AJ41*$BF41</f>
        <v/>
      </c>
      <c r="AN41" s="349" t="n"/>
      <c r="AO41" s="350">
        <f>IF($W41=$F$16,$P$61,0)</f>
        <v/>
      </c>
      <c r="AP41" s="351">
        <f>IF($W41=$F$16,$P$63,0)</f>
        <v/>
      </c>
      <c r="AQ41" s="351">
        <f>IF($W41=$F$16,$P$62,0)</f>
        <v/>
      </c>
      <c r="AR41" s="345">
        <f>IF($W41&lt;$O$16,IF(W41=$F$16,$U$92,$U$93),0)</f>
        <v/>
      </c>
      <c r="AS41" s="346">
        <f>SUM(AO41:AP41,AR41)</f>
        <v/>
      </c>
      <c r="AT41" s="345">
        <f>IF(W41=$F$16,$P$30,0)</f>
        <v/>
      </c>
      <c r="AU41" s="345">
        <f>IFERROR(-PPMT($P$36,W41-$F$16,$F$17,SUM(P$31,P$51)),0)</f>
        <v/>
      </c>
      <c r="AV41" s="345">
        <f>IFERROR(-IPMT($P$36,W41-$F$16,$F$17,SUM($P$31,$P$51)),0)</f>
        <v/>
      </c>
      <c r="AW41" s="345">
        <f>IF(AND(W41&gt;$F$16,W41&lt;=SUM($F$16:$F$17)),$P$43,0)</f>
        <v/>
      </c>
      <c r="AX41" s="345">
        <f>IF($W41=1,$F$44,0)+IF(AND($W41&gt;0,$W41&lt;=$O$16),$F$45,0)</f>
        <v/>
      </c>
      <c r="AY41" s="345">
        <f>IF(AND(W41&gt;$F$16,W41&lt;=SUM($F$16:$F$17)),$P$54,0)</f>
        <v/>
      </c>
      <c r="AZ41" s="345">
        <f>IF(AND(SUM($AQ$16:AQ40)&gt;0,SUM($AZ$16:AZ40)&lt;$P$62,$W41&gt;=$P$65),$P$64,0)</f>
        <v/>
      </c>
      <c r="BA41" s="345">
        <f>IF(SUM($AQ$17:$AQ40)&gt;0,($P$62-SUM($AZ$17:$AZ40))*$F$65,0)</f>
        <v/>
      </c>
      <c r="BB41" s="346">
        <f>SUM(AT41:AY41)</f>
        <v/>
      </c>
      <c r="BC41" s="351">
        <f>AS41-BB41</f>
        <v/>
      </c>
      <c r="BD41" s="352">
        <f>BC41*$BF41</f>
        <v/>
      </c>
      <c r="BE41" s="337" t="n"/>
      <c r="BF41" s="46">
        <f>BF40/(1+$O$22)</f>
        <v/>
      </c>
      <c r="BH41" s="350">
        <f>AT41</f>
        <v/>
      </c>
      <c r="BI41" s="350">
        <f>AU41</f>
        <v/>
      </c>
      <c r="BJ41" s="351">
        <f>AV41</f>
        <v/>
      </c>
      <c r="BK41" s="351">
        <f>AW41</f>
        <v/>
      </c>
      <c r="BL41" s="351">
        <f>AY41</f>
        <v/>
      </c>
      <c r="BM41" s="351">
        <f>IF($W41&gt;$F$16,$F$56,0)</f>
        <v/>
      </c>
      <c r="BN41" s="352">
        <f>SUM(BH41:BM41)</f>
        <v/>
      </c>
      <c r="BO41" s="351">
        <f>IF($W41=$F$16,$P$32,0)</f>
        <v/>
      </c>
      <c r="BP41" s="351">
        <f>IF(AND(W41&gt;$F$16,W41&lt;=SUM($F$16:$F$17)),$P$41,0)</f>
        <v/>
      </c>
      <c r="BQ41" s="351">
        <f>IFERROR(-IPMT($P$67,W41-$F$16,$F$17,SUM(P$31,P$51)),0)</f>
        <v/>
      </c>
      <c r="BR41" s="351">
        <f>IF($W41&lt;=$O$16,$F$105,0)</f>
        <v/>
      </c>
      <c r="BS41" s="353">
        <f>IF($W41=1,SUM($O$103,$O$105),0)</f>
        <v/>
      </c>
      <c r="BT41" s="351">
        <f>IF($W41&lt;$O$16,IF(W41=$F$16,$P$93,$P$94),0)</f>
        <v/>
      </c>
      <c r="BU41" s="352">
        <f>SUM(BO41:BP41,BR41:BT41)</f>
        <v/>
      </c>
      <c r="BV41" s="352">
        <f>BN41-BU41</f>
        <v/>
      </c>
      <c r="BW41" s="342" t="n"/>
      <c r="BX41" s="338">
        <f>IFERROR(-PPMT($P$67,$W41-$F$16,$F$17,SUM(P$31,P$51)),0)</f>
        <v/>
      </c>
      <c r="BY41" s="356">
        <f>IF(BV41-BX41&gt;=0,0,1)</f>
        <v/>
      </c>
      <c r="CA41" s="0" t="n"/>
    </row>
    <row r="42" ht="15.75" customHeight="1" s="302">
      <c r="C42" s="2" t="inlineStr">
        <is>
          <t>うち、予定価格を反映</t>
        </is>
      </c>
      <c r="D42" s="0" t="inlineStr">
        <is>
          <t>百万円</t>
        </is>
      </c>
      <c r="F42" s="139" t="n"/>
      <c r="K42" s="0" t="inlineStr">
        <is>
          <t>利用料金収入</t>
        </is>
      </c>
      <c r="N42" s="19" t="inlineStr">
        <is>
          <t>百万円</t>
        </is>
      </c>
      <c r="O42" s="362" t="n"/>
      <c r="P42" s="362" t="n"/>
      <c r="Q42" s="0" t="inlineStr">
        <is>
          <t>サービス購入費から控除</t>
        </is>
      </c>
      <c r="V42" s="58">
        <f>IF(W42=1,DATE(YEAR($F$18)+(MONTH($F$18)&gt;=4),4,0),EOMONTH(V41,12))</f>
        <v/>
      </c>
      <c r="W42" s="26" t="n">
        <v>26</v>
      </c>
      <c r="X42" s="282">
        <f>IF(W42&gt;$O$16,"-",IF($W42&lt;=$F$16,"整備期間","維持管理・運営期間"))</f>
        <v/>
      </c>
      <c r="Y42" s="344">
        <f>IF($W42=$F$16,$O$61,0)</f>
        <v/>
      </c>
      <c r="Z42" s="345">
        <f>IF($W42=$F$16,$O$63,0)</f>
        <v/>
      </c>
      <c r="AA42" s="345">
        <f>IF($W42=$F$16,$O$62,0)</f>
        <v/>
      </c>
      <c r="AB42" s="345">
        <f>IF(X42="維持管理・運営期間",$F$56,0)</f>
        <v/>
      </c>
      <c r="AC42" s="346">
        <f>SUM(Y42:Z42,AB42)</f>
        <v/>
      </c>
      <c r="AD42" s="344">
        <f>IF($W42=$F$16,$O$30,0)</f>
        <v/>
      </c>
      <c r="AE42" s="345">
        <f>IF($X42="維持管理・運営期間",$O$41,0)</f>
        <v/>
      </c>
      <c r="AF42" s="345">
        <f>IF(AND($W42&gt;0,$W42&lt;=$O$16),$E$45,0)</f>
        <v/>
      </c>
      <c r="AG42" s="345">
        <f>IF(AND(SUM($AA$16:AA41)&gt;0,SUM($AG$16:AG41)&lt;$O$62,$W42&gt;=$O$65),$O$64,0)</f>
        <v/>
      </c>
      <c r="AH42" s="351">
        <f>IF(SUM($AA$17:$AA41)&gt;0,($O$62-SUM($AG$17:$AG41))*$F$65,0)</f>
        <v/>
      </c>
      <c r="AI42" s="346">
        <f>SUM(AD42:AF42)</f>
        <v/>
      </c>
      <c r="AJ42" s="351">
        <f>AC42-AI42</f>
        <v/>
      </c>
      <c r="AK42" s="338">
        <f>(SUM($P$31,$P$51)-SUM($AU$17:AU41))*$O$109</f>
        <v/>
      </c>
      <c r="AL42" s="348" t="n"/>
      <c r="AM42" s="352">
        <f>AJ42*$BF42</f>
        <v/>
      </c>
      <c r="AN42" s="349" t="n"/>
      <c r="AO42" s="350">
        <f>IF($W42=$F$16,$P$61,0)</f>
        <v/>
      </c>
      <c r="AP42" s="351">
        <f>IF($W42=$F$16,$P$63,0)</f>
        <v/>
      </c>
      <c r="AQ42" s="351">
        <f>IF($W42=$F$16,$P$62,0)</f>
        <v/>
      </c>
      <c r="AR42" s="345">
        <f>IF($W42&lt;$O$16,IF(W42=$F$16,$U$92,$U$93),0)</f>
        <v/>
      </c>
      <c r="AS42" s="346">
        <f>SUM(AO42:AP42,AR42)</f>
        <v/>
      </c>
      <c r="AT42" s="345">
        <f>IF(W42=$F$16,$P$30,0)</f>
        <v/>
      </c>
      <c r="AU42" s="345">
        <f>IFERROR(-PPMT($P$36,W42-$F$16,$F$17,SUM(P$31,P$51)),0)</f>
        <v/>
      </c>
      <c r="AV42" s="345">
        <f>IFERROR(-IPMT($P$36,W42-$F$16,$F$17,SUM($P$31,$P$51)),0)</f>
        <v/>
      </c>
      <c r="AW42" s="345">
        <f>IF(AND(W42&gt;$F$16,W42&lt;=SUM($F$16:$F$17)),$P$43,0)</f>
        <v/>
      </c>
      <c r="AX42" s="345">
        <f>IF($W42=1,$F$44,0)+IF(AND($W42&gt;0,$W42&lt;=$O$16),$F$45,0)</f>
        <v/>
      </c>
      <c r="AY42" s="345">
        <f>IF(AND(W42&gt;$F$16,W42&lt;=SUM($F$16:$F$17)),$P$54,0)</f>
        <v/>
      </c>
      <c r="AZ42" s="345">
        <f>IF(AND(SUM($AQ$16:AQ41)&gt;0,SUM($AZ$16:AZ41)&lt;$P$62,$W42&gt;=$P$65),$P$64,0)</f>
        <v/>
      </c>
      <c r="BA42" s="345">
        <f>IF(SUM($AQ$17:$AQ41)&gt;0,($P$62-SUM($AZ$17:$AZ41))*$F$65,0)</f>
        <v/>
      </c>
      <c r="BB42" s="346">
        <f>SUM(AT42:AY42)</f>
        <v/>
      </c>
      <c r="BC42" s="351">
        <f>AS42-BB42</f>
        <v/>
      </c>
      <c r="BD42" s="352">
        <f>BC42*$BF42</f>
        <v/>
      </c>
      <c r="BE42" s="337" t="n"/>
      <c r="BF42" s="46">
        <f>BF41/(1+$O$22)</f>
        <v/>
      </c>
      <c r="BH42" s="350">
        <f>AT42</f>
        <v/>
      </c>
      <c r="BI42" s="350">
        <f>AU42</f>
        <v/>
      </c>
      <c r="BJ42" s="351">
        <f>AV42</f>
        <v/>
      </c>
      <c r="BK42" s="351">
        <f>AW42</f>
        <v/>
      </c>
      <c r="BL42" s="351">
        <f>AY42</f>
        <v/>
      </c>
      <c r="BM42" s="351">
        <f>IF($W42&gt;$F$16,$F$56,0)</f>
        <v/>
      </c>
      <c r="BN42" s="352">
        <f>SUM(BH42:BM42)</f>
        <v/>
      </c>
      <c r="BO42" s="351">
        <f>IF($W42=$F$16,$P$32,0)</f>
        <v/>
      </c>
      <c r="BP42" s="351">
        <f>IF(AND(W42&gt;$F$16,W42&lt;=SUM($F$16:$F$17)),$P$41,0)</f>
        <v/>
      </c>
      <c r="BQ42" s="351">
        <f>IFERROR(-IPMT($P$67,W42-$F$16,$F$17,SUM(P$31,P$51)),0)</f>
        <v/>
      </c>
      <c r="BR42" s="351">
        <f>IF($W42&lt;=$O$16,$F$105,0)</f>
        <v/>
      </c>
      <c r="BS42" s="353">
        <f>IF($W42=1,SUM($O$103,$O$105),0)</f>
        <v/>
      </c>
      <c r="BT42" s="351">
        <f>IF($W42&lt;$O$16,IF(W42=$F$16,$P$93,$P$94),0)</f>
        <v/>
      </c>
      <c r="BU42" s="352">
        <f>SUM(BO42:BP42,BR42:BT42)</f>
        <v/>
      </c>
      <c r="BV42" s="352">
        <f>BN42-BU42</f>
        <v/>
      </c>
      <c r="BW42" s="342" t="n"/>
      <c r="BX42" s="338">
        <f>IFERROR(-PPMT($P$67,$W42-$F$16,$F$17,SUM(P$31,P$51)),0)</f>
        <v/>
      </c>
      <c r="BY42" s="356">
        <f>IF(BV42-BX42&gt;=0,0,1)</f>
        <v/>
      </c>
      <c r="CA42" s="0" t="n"/>
    </row>
    <row r="43" ht="15.75" customHeight="1" s="302">
      <c r="B43" s="0" t="inlineStr">
        <is>
          <t>2.4モニタリングコスト</t>
        </is>
      </c>
      <c r="E43" s="19" t="inlineStr">
        <is>
          <t>PSC</t>
        </is>
      </c>
      <c r="F43" s="19" t="inlineStr">
        <is>
          <t>PFI-LCC</t>
        </is>
      </c>
      <c r="K43" s="0" t="inlineStr">
        <is>
          <t>利用料金収入考慮後の維持管理運営に係るサービス購入費</t>
        </is>
      </c>
      <c r="N43" s="19" t="inlineStr">
        <is>
          <t>百万円</t>
        </is>
      </c>
      <c r="O43" s="362" t="n"/>
      <c r="P43" s="362" t="n"/>
      <c r="V43" s="58">
        <f>IF(W43=1,DATE(YEAR($F$18)+(MONTH($F$18)&gt;=4),4,0),EOMONTH(V42,12))</f>
        <v/>
      </c>
      <c r="W43" s="26" t="n">
        <v>27</v>
      </c>
      <c r="X43" s="282">
        <f>IF(W43&gt;$O$16,"-",IF($W43&lt;=$F$16,"整備期間","維持管理・運営期間"))</f>
        <v/>
      </c>
      <c r="Y43" s="344">
        <f>IF($W43=$F$16,$O$61,0)</f>
        <v/>
      </c>
      <c r="Z43" s="345">
        <f>IF($W43=$F$16,$O$63,0)</f>
        <v/>
      </c>
      <c r="AA43" s="345">
        <f>IF($W43=$F$16,$O$62,0)</f>
        <v/>
      </c>
      <c r="AB43" s="345">
        <f>IF(X43="維持管理・運営期間",$F$56,0)</f>
        <v/>
      </c>
      <c r="AC43" s="346">
        <f>SUM(Y43:Z43,AB43)</f>
        <v/>
      </c>
      <c r="AD43" s="344">
        <f>IF($W43=$F$16,$O$30,0)</f>
        <v/>
      </c>
      <c r="AE43" s="345">
        <f>IF($X43="維持管理・運営期間",$O$41,0)</f>
        <v/>
      </c>
      <c r="AF43" s="345">
        <f>IF(AND($W43&gt;0,$W43&lt;=$O$16),$E$45,0)</f>
        <v/>
      </c>
      <c r="AG43" s="345">
        <f>IF(AND(SUM($AA$16:AA42)&gt;0,SUM($AG$16:AG42)&lt;$O$62,$W43&gt;=$O$65),$O$64,0)</f>
        <v/>
      </c>
      <c r="AH43" s="351">
        <f>IF(SUM($AA$17:$AA42)&gt;0,($O$62-SUM($AG$17:$AG42))*$F$65,0)</f>
        <v/>
      </c>
      <c r="AI43" s="346">
        <f>SUM(AD43:AF43)</f>
        <v/>
      </c>
      <c r="AJ43" s="351">
        <f>AC43-AI43</f>
        <v/>
      </c>
      <c r="AK43" s="338">
        <f>(SUM($P$31,$P$51)-SUM($AU$17:AU42))*$O$109</f>
        <v/>
      </c>
      <c r="AL43" s="348" t="n"/>
      <c r="AM43" s="352">
        <f>AJ43*$BF43</f>
        <v/>
      </c>
      <c r="AN43" s="349" t="n"/>
      <c r="AO43" s="350">
        <f>IF($W43=$F$16,$P$61,0)</f>
        <v/>
      </c>
      <c r="AP43" s="351">
        <f>IF($W43=$F$16,$P$63,0)</f>
        <v/>
      </c>
      <c r="AQ43" s="351">
        <f>IF($W43=$F$16,$P$62,0)</f>
        <v/>
      </c>
      <c r="AR43" s="345">
        <f>IF($W43&lt;$O$16,IF(W43=$F$16,$U$92,$U$93),0)</f>
        <v/>
      </c>
      <c r="AS43" s="346">
        <f>SUM(AO43:AP43,AR43)</f>
        <v/>
      </c>
      <c r="AT43" s="345">
        <f>IF(W43=$F$16,$P$30,0)</f>
        <v/>
      </c>
      <c r="AU43" s="345">
        <f>IFERROR(-PPMT($P$36,W43-$F$16,$F$17,SUM(P$31,P$51)),0)</f>
        <v/>
      </c>
      <c r="AV43" s="345">
        <f>IFERROR(-IPMT($P$36,W43-$F$16,$F$17,SUM($P$31,$P$51)),0)</f>
        <v/>
      </c>
      <c r="AW43" s="345">
        <f>IF(AND(W43&gt;$F$16,W43&lt;=SUM($F$16:$F$17)),$P$43,0)</f>
        <v/>
      </c>
      <c r="AX43" s="345">
        <f>IF($W43=1,$F$44,0)+IF(AND($W43&gt;0,$W43&lt;=$O$16),$F$45,0)</f>
        <v/>
      </c>
      <c r="AY43" s="345">
        <f>IF(AND(W43&gt;$F$16,W43&lt;=SUM($F$16:$F$17)),$P$54,0)</f>
        <v/>
      </c>
      <c r="AZ43" s="345">
        <f>IF(AND(SUM($AQ$16:AQ42)&gt;0,SUM($AZ$16:AZ42)&lt;$P$62,$W43&gt;=$P$65),$P$64,0)</f>
        <v/>
      </c>
      <c r="BA43" s="345">
        <f>IF(SUM($AQ$17:$AQ42)&gt;0,($P$62-SUM($AZ$17:$AZ42))*$F$65,0)</f>
        <v/>
      </c>
      <c r="BB43" s="346">
        <f>SUM(AT43:AY43)</f>
        <v/>
      </c>
      <c r="BC43" s="351">
        <f>AS43-BB43</f>
        <v/>
      </c>
      <c r="BD43" s="352">
        <f>BC43*$BF43</f>
        <v/>
      </c>
      <c r="BE43" s="337" t="n"/>
      <c r="BF43" s="46">
        <f>BF42/(1+$O$22)</f>
        <v/>
      </c>
      <c r="BH43" s="350">
        <f>AT43</f>
        <v/>
      </c>
      <c r="BI43" s="350">
        <f>AU43</f>
        <v/>
      </c>
      <c r="BJ43" s="351">
        <f>AV43</f>
        <v/>
      </c>
      <c r="BK43" s="351">
        <f>AW43</f>
        <v/>
      </c>
      <c r="BL43" s="351">
        <f>AY43</f>
        <v/>
      </c>
      <c r="BM43" s="351">
        <f>IF($W43&gt;$F$16,$F$56,0)</f>
        <v/>
      </c>
      <c r="BN43" s="352">
        <f>SUM(BH43:BM43)</f>
        <v/>
      </c>
      <c r="BO43" s="351">
        <f>IF($W43=$F$16,$P$32,0)</f>
        <v/>
      </c>
      <c r="BP43" s="351">
        <f>IF(AND(W43&gt;$F$16,W43&lt;=SUM($F$16:$F$17)),$P$41,0)</f>
        <v/>
      </c>
      <c r="BQ43" s="351">
        <f>IFERROR(-IPMT($P$67,W43-$F$16,$F$17,SUM(P$31,P$51)),0)</f>
        <v/>
      </c>
      <c r="BR43" s="351">
        <f>IF($W43&lt;=$O$16,$F$105,0)</f>
        <v/>
      </c>
      <c r="BS43" s="353">
        <f>IF($W43=1,SUM($O$103,$O$105),0)</f>
        <v/>
      </c>
      <c r="BT43" s="351">
        <f>IF($W43&lt;$O$16,IF(W43=$F$16,$P$93,$P$94),0)</f>
        <v/>
      </c>
      <c r="BU43" s="352">
        <f>SUM(BO43:BP43,BR43:BT43)</f>
        <v/>
      </c>
      <c r="BV43" s="352">
        <f>BN43-BU43</f>
        <v/>
      </c>
      <c r="BW43" s="342" t="n"/>
      <c r="BX43" s="338">
        <f>IFERROR(-PPMT($P$67,$W43-$F$16,$F$17,SUM(P$31,P$51)),0)</f>
        <v/>
      </c>
      <c r="BY43" s="356">
        <f>IF(BV43-BX43&gt;=0,0,1)</f>
        <v/>
      </c>
      <c r="CA43" s="0" t="n"/>
    </row>
    <row r="44" ht="15.75" customHeight="1" s="302">
      <c r="C44" s="275" t="inlineStr">
        <is>
          <t>当初費用（アドバイザーフィー等）</t>
        </is>
      </c>
      <c r="D44" s="0" t="inlineStr">
        <is>
          <t>百万円</t>
        </is>
      </c>
      <c r="E44" s="366" t="n"/>
      <c r="F44" s="305" t="n">
        <v>25</v>
      </c>
      <c r="K44" s="0" t="inlineStr">
        <is>
          <t>維持管理運営費用（総額）</t>
        </is>
      </c>
      <c r="N44" s="19" t="inlineStr">
        <is>
          <t>百万円</t>
        </is>
      </c>
      <c r="O44" s="364">
        <f>O41*$F$17</f>
        <v/>
      </c>
      <c r="P44" s="364">
        <f>P43*$F$17</f>
        <v/>
      </c>
      <c r="V44" s="58">
        <f>IF(W44=1,DATE(YEAR($F$18)+(MONTH($F$18)&gt;=4),4,0),EOMONTH(V43,12))</f>
        <v/>
      </c>
      <c r="W44" s="26" t="n">
        <v>28</v>
      </c>
      <c r="X44" s="282">
        <f>IF(W44&gt;$O$16,"-",IF($W44&lt;=$F$16,"整備期間","維持管理・運営期間"))</f>
        <v/>
      </c>
      <c r="Y44" s="344">
        <f>IF($W44=$F$16,$O$61,0)</f>
        <v/>
      </c>
      <c r="Z44" s="345">
        <f>IF($W44=$F$16,$O$63,0)</f>
        <v/>
      </c>
      <c r="AA44" s="345">
        <f>IF($W44=$F$16,$O$62,0)</f>
        <v/>
      </c>
      <c r="AB44" s="345">
        <f>IF(X44="維持管理・運営期間",$F$56,0)</f>
        <v/>
      </c>
      <c r="AC44" s="346">
        <f>SUM(Y44:Z44,AB44)</f>
        <v/>
      </c>
      <c r="AD44" s="344">
        <f>IF($W44=$F$16,$O$30,0)</f>
        <v/>
      </c>
      <c r="AE44" s="345">
        <f>IF($X44="維持管理・運営期間",$O$41,0)</f>
        <v/>
      </c>
      <c r="AF44" s="345">
        <f>IF(AND($W44&gt;0,$W44&lt;=$O$16),$E$45,0)</f>
        <v/>
      </c>
      <c r="AG44" s="345">
        <f>IF(AND(SUM($AA$16:AA43)&gt;0,SUM($AG$16:AG43)&lt;$O$62,$W44&gt;=$O$65),$O$64,0)</f>
        <v/>
      </c>
      <c r="AH44" s="351">
        <f>IF(SUM($AA$17:$AA43)&gt;0,($O$62-SUM($AG$17:$AG43))*$F$65,0)</f>
        <v/>
      </c>
      <c r="AI44" s="346">
        <f>SUM(AD44:AF44)</f>
        <v/>
      </c>
      <c r="AJ44" s="351">
        <f>AC44-AI44</f>
        <v/>
      </c>
      <c r="AK44" s="338">
        <f>(SUM($P$31,$P$51)-SUM($AU$17:AU43))*$O$109</f>
        <v/>
      </c>
      <c r="AL44" s="348" t="n"/>
      <c r="AM44" s="352">
        <f>AJ44*$BF44</f>
        <v/>
      </c>
      <c r="AN44" s="349" t="n"/>
      <c r="AO44" s="350">
        <f>IF($W44=$F$16,$P$61,0)</f>
        <v/>
      </c>
      <c r="AP44" s="351">
        <f>IF($W44=$F$16,$P$63,0)</f>
        <v/>
      </c>
      <c r="AQ44" s="351">
        <f>IF($W44=$F$16,$P$62,0)</f>
        <v/>
      </c>
      <c r="AR44" s="345">
        <f>IF($W44&lt;$O$16,IF(W44=$F$16,$U$92,$U$93),0)</f>
        <v/>
      </c>
      <c r="AS44" s="346">
        <f>SUM(AO44:AP44,AR44)</f>
        <v/>
      </c>
      <c r="AT44" s="345">
        <f>IF(W44=$F$16,$P$30,0)</f>
        <v/>
      </c>
      <c r="AU44" s="345">
        <f>IFERROR(-PPMT($P$36,W44-$F$16,$F$17,SUM(P$31,P$51)),0)</f>
        <v/>
      </c>
      <c r="AV44" s="345">
        <f>IFERROR(-IPMT($P$36,W44-$F$16,$F$17,SUM($P$31,$P$51)),0)</f>
        <v/>
      </c>
      <c r="AW44" s="345">
        <f>IF(AND(W44&gt;$F$16,W44&lt;=SUM($F$16:$F$17)),$P$43,0)</f>
        <v/>
      </c>
      <c r="AX44" s="345">
        <f>IF($W44=1,$F$44,0)+IF(AND($W44&gt;0,$W44&lt;=$O$16),$F$45,0)</f>
        <v/>
      </c>
      <c r="AY44" s="345">
        <f>IF(AND(W44&gt;$F$16,W44&lt;=SUM($F$16:$F$17)),$P$54,0)</f>
        <v/>
      </c>
      <c r="AZ44" s="345">
        <f>IF(AND(SUM($AQ$16:AQ43)&gt;0,SUM($AZ$16:AZ43)&lt;$P$62,$W44&gt;=$P$65),$P$64,0)</f>
        <v/>
      </c>
      <c r="BA44" s="345">
        <f>IF(SUM($AQ$17:$AQ43)&gt;0,($P$62-SUM($AZ$17:$AZ43))*$F$65,0)</f>
        <v/>
      </c>
      <c r="BB44" s="346">
        <f>SUM(AT44:AY44)</f>
        <v/>
      </c>
      <c r="BC44" s="351">
        <f>AS44-BB44</f>
        <v/>
      </c>
      <c r="BD44" s="352">
        <f>BC44*$BF44</f>
        <v/>
      </c>
      <c r="BE44" s="337" t="n"/>
      <c r="BF44" s="46">
        <f>BF43/(1+$O$22)</f>
        <v/>
      </c>
      <c r="BH44" s="350">
        <f>AT44</f>
        <v/>
      </c>
      <c r="BI44" s="350">
        <f>AU44</f>
        <v/>
      </c>
      <c r="BJ44" s="351">
        <f>AV44</f>
        <v/>
      </c>
      <c r="BK44" s="351">
        <f>AW44</f>
        <v/>
      </c>
      <c r="BL44" s="351">
        <f>AY44</f>
        <v/>
      </c>
      <c r="BM44" s="351">
        <f>IF($W44&gt;$F$16,$F$56,0)</f>
        <v/>
      </c>
      <c r="BN44" s="352">
        <f>SUM(BH44:BM44)</f>
        <v/>
      </c>
      <c r="BO44" s="351">
        <f>IF($W44=$F$16,$P$32,0)</f>
        <v/>
      </c>
      <c r="BP44" s="351">
        <f>IF(AND(W44&gt;$F$16,W44&lt;=SUM($F$16:$F$17)),$P$41,0)</f>
        <v/>
      </c>
      <c r="BQ44" s="351">
        <f>IFERROR(-IPMT($P$67,W44-$F$16,$F$17,SUM(P$31,P$51)),0)</f>
        <v/>
      </c>
      <c r="BR44" s="351">
        <f>IF($W44&lt;=$O$16,$F$105,0)</f>
        <v/>
      </c>
      <c r="BS44" s="353">
        <f>IF($W44=1,SUM($O$103,$O$105),0)</f>
        <v/>
      </c>
      <c r="BT44" s="351">
        <f>IF($W44&lt;$O$16,IF(W44=$F$16,$P$93,$P$94),0)</f>
        <v/>
      </c>
      <c r="BU44" s="352">
        <f>SUM(BO44:BP44,BR44:BT44)</f>
        <v/>
      </c>
      <c r="BV44" s="352">
        <f>BN44-BU44</f>
        <v/>
      </c>
      <c r="BW44" s="342" t="n"/>
      <c r="BX44" s="338">
        <f>IFERROR(-PPMT($P$67,$W44-$F$16,$F$17,SUM(P$31,P$51)),0)</f>
        <v/>
      </c>
      <c r="BY44" s="356">
        <f>IF(BV44-BX44&gt;=0,0,1)</f>
        <v/>
      </c>
      <c r="CA44" s="0" t="n"/>
    </row>
    <row r="45" ht="15.75" customHeight="1" s="302">
      <c r="C45" s="0" t="inlineStr">
        <is>
          <t>期中費用（モニタリングコスト）</t>
        </is>
      </c>
      <c r="D45" s="0" t="inlineStr">
        <is>
          <t>百万円</t>
        </is>
      </c>
      <c r="E45" s="305" t="n">
        <v>10</v>
      </c>
      <c r="F45" s="305" t="n">
        <v>6</v>
      </c>
      <c r="V45" s="58">
        <f>IF(W45=1,DATE(YEAR($F$18)+(MONTH($F$18)&gt;=4),4,0),EOMONTH(V44,12))</f>
        <v/>
      </c>
      <c r="W45" s="26" t="n">
        <v>29</v>
      </c>
      <c r="X45" s="282">
        <f>IF(W45&gt;$O$16,"-",IF($W45&lt;=$F$16,"整備期間","維持管理・運営期間"))</f>
        <v/>
      </c>
      <c r="Y45" s="344">
        <f>IF($W45=$F$16,$O$61,0)</f>
        <v/>
      </c>
      <c r="Z45" s="345">
        <f>IF($W45=$F$16,$O$63,0)</f>
        <v/>
      </c>
      <c r="AA45" s="345">
        <f>IF($W45=$F$16,$O$62,0)</f>
        <v/>
      </c>
      <c r="AB45" s="345">
        <f>IF(X45="維持管理・運営期間",$F$56,0)</f>
        <v/>
      </c>
      <c r="AC45" s="346">
        <f>SUM(Y45:Z45,AB45)</f>
        <v/>
      </c>
      <c r="AD45" s="344">
        <f>IF($W45=$F$16,$O$30,0)</f>
        <v/>
      </c>
      <c r="AE45" s="345">
        <f>IF($X45="維持管理・運営期間",$O$41,0)</f>
        <v/>
      </c>
      <c r="AF45" s="345">
        <f>IF(AND($W45&gt;0,$W45&lt;=$O$16),$E$45,0)</f>
        <v/>
      </c>
      <c r="AG45" s="345">
        <f>IF(AND(SUM($AA$16:AA44)&gt;0,SUM($AG$16:AG44)&lt;$O$62,$W45&gt;=$O$65),$O$64,0)</f>
        <v/>
      </c>
      <c r="AH45" s="351">
        <f>IF(SUM($AA$17:$AA44)&gt;0,($O$62-SUM($AG$17:$AG44))*$F$65,0)</f>
        <v/>
      </c>
      <c r="AI45" s="346">
        <f>SUM(AD45:AF45)</f>
        <v/>
      </c>
      <c r="AJ45" s="351">
        <f>AC45-AI45</f>
        <v/>
      </c>
      <c r="AK45" s="338">
        <f>(SUM($P$31,$P$51)-SUM($AU$17:AU44))*$O$109</f>
        <v/>
      </c>
      <c r="AL45" s="348" t="n"/>
      <c r="AM45" s="352">
        <f>AJ45*$BF45</f>
        <v/>
      </c>
      <c r="AN45" s="349" t="n"/>
      <c r="AO45" s="350">
        <f>IF($W45=$F$16,$P$61,0)</f>
        <v/>
      </c>
      <c r="AP45" s="351">
        <f>IF($W45=$F$16,$P$63,0)</f>
        <v/>
      </c>
      <c r="AQ45" s="351">
        <f>IF($W45=$F$16,$P$62,0)</f>
        <v/>
      </c>
      <c r="AR45" s="345">
        <f>IF($W45&lt;$O$16,IF(W45=$F$16,$U$92,$U$93),0)</f>
        <v/>
      </c>
      <c r="AS45" s="346">
        <f>SUM(AO45:AP45,AR45)</f>
        <v/>
      </c>
      <c r="AT45" s="345">
        <f>IF(W45=$F$16,$P$30,0)</f>
        <v/>
      </c>
      <c r="AU45" s="345">
        <f>IFERROR(-PPMT($P$36,W45-$F$16,$F$17,SUM(P$31,P$51)),0)</f>
        <v/>
      </c>
      <c r="AV45" s="345">
        <f>IFERROR(-IPMT($P$36,W45-$F$16,$F$17,SUM($P$31,$P$51)),0)</f>
        <v/>
      </c>
      <c r="AW45" s="345">
        <f>IF(AND(W45&gt;$F$16,W45&lt;=SUM($F$16:$F$17)),$P$43,0)</f>
        <v/>
      </c>
      <c r="AX45" s="345">
        <f>IF($W45=1,$F$44,0)+IF(AND($W45&gt;0,$W45&lt;=$O$16),$F$45,0)</f>
        <v/>
      </c>
      <c r="AY45" s="345">
        <f>IF(AND(W45&gt;$F$16,W45&lt;=SUM($F$16:$F$17)),$P$54,0)</f>
        <v/>
      </c>
      <c r="AZ45" s="345">
        <f>IF(AND(SUM($AQ$16:AQ44)&gt;0,SUM($AZ$16:AZ44)&lt;$P$62,$W45&gt;=$P$65),$P$64,0)</f>
        <v/>
      </c>
      <c r="BA45" s="345">
        <f>IF(SUM($AQ$17:$AQ44)&gt;0,($P$62-SUM($AZ$17:$AZ44))*$F$65,0)</f>
        <v/>
      </c>
      <c r="BB45" s="346">
        <f>SUM(AT45:AY45)</f>
        <v/>
      </c>
      <c r="BC45" s="351">
        <f>AS45-BB45</f>
        <v/>
      </c>
      <c r="BD45" s="352">
        <f>BC45*$BF45</f>
        <v/>
      </c>
      <c r="BE45" s="337" t="n"/>
      <c r="BF45" s="46">
        <f>BF44/(1+$O$22)</f>
        <v/>
      </c>
      <c r="BH45" s="350">
        <f>AT45</f>
        <v/>
      </c>
      <c r="BI45" s="350">
        <f>AU45</f>
        <v/>
      </c>
      <c r="BJ45" s="351">
        <f>AV45</f>
        <v/>
      </c>
      <c r="BK45" s="351">
        <f>AW45</f>
        <v/>
      </c>
      <c r="BL45" s="351">
        <f>AY45</f>
        <v/>
      </c>
      <c r="BM45" s="351">
        <f>IF($W45&gt;$F$16,$F$56,0)</f>
        <v/>
      </c>
      <c r="BN45" s="352">
        <f>SUM(BH45:BM45)</f>
        <v/>
      </c>
      <c r="BO45" s="351">
        <f>IF($W45=$F$16,$P$32,0)</f>
        <v/>
      </c>
      <c r="BP45" s="351">
        <f>IF(AND(W45&gt;$F$16,W45&lt;=SUM($F$16:$F$17)),$P$41,0)</f>
        <v/>
      </c>
      <c r="BQ45" s="351">
        <f>IFERROR(-IPMT($P$67,W45-$F$16,$F$17,SUM(P$31,P$51)),0)</f>
        <v/>
      </c>
      <c r="BR45" s="351">
        <f>IF($W45&lt;=$O$16,$F$105,0)</f>
        <v/>
      </c>
      <c r="BS45" s="353">
        <f>IF($W45=1,SUM($O$103,$O$105),0)</f>
        <v/>
      </c>
      <c r="BT45" s="351">
        <f>IF($W45&lt;$O$16,IF(W45=$F$16,$P$93,$P$94),0)</f>
        <v/>
      </c>
      <c r="BU45" s="352">
        <f>SUM(BO45:BP45,BR45:BT45)</f>
        <v/>
      </c>
      <c r="BV45" s="352">
        <f>BN45-BU45</f>
        <v/>
      </c>
      <c r="BW45" s="342" t="n"/>
      <c r="BX45" s="338">
        <f>IFERROR(-PPMT($P$67,$W45-$F$16,$F$17,SUM(P$31,P$51)),0)</f>
        <v/>
      </c>
      <c r="BY45" s="356">
        <f>IF(BV45-BX45&gt;=0,0,1)</f>
        <v/>
      </c>
      <c r="CA45" s="0" t="n"/>
    </row>
    <row r="46" ht="15.75" customHeight="1" s="302">
      <c r="B46" s="0" t="inlineStr">
        <is>
          <t>2.5 SPC費用、税金等</t>
        </is>
      </c>
      <c r="J46" s="4" t="inlineStr">
        <is>
          <t>2.5 SPC費用、税金等の取扱い</t>
        </is>
      </c>
      <c r="V46" s="58">
        <f>IF(W46=1,DATE(YEAR($F$18)+(MONTH($F$18)&gt;=4),4,0),EOMONTH(V45,12))</f>
        <v/>
      </c>
      <c r="W46" s="26" t="n">
        <v>30</v>
      </c>
      <c r="X46" s="282">
        <f>IF(W46&gt;$O$16,"-",IF($W46&lt;=$F$16,"整備期間","維持管理・運営期間"))</f>
        <v/>
      </c>
      <c r="Y46" s="344">
        <f>IF($W46=$F$16,$O$61,0)</f>
        <v/>
      </c>
      <c r="Z46" s="345">
        <f>IF($W46=$F$16,$O$63,0)</f>
        <v/>
      </c>
      <c r="AA46" s="345">
        <f>IF($W46=$F$16,$O$62,0)</f>
        <v/>
      </c>
      <c r="AB46" s="345">
        <f>IF(X46="維持管理・運営期間",$F$56,0)</f>
        <v/>
      </c>
      <c r="AC46" s="346">
        <f>SUM(Y46:Z46,AB46)</f>
        <v/>
      </c>
      <c r="AD46" s="344">
        <f>IF($W46=$F$16,$O$30,0)</f>
        <v/>
      </c>
      <c r="AE46" s="345">
        <f>IF($X46="維持管理・運営期間",$O$41,0)</f>
        <v/>
      </c>
      <c r="AF46" s="345">
        <f>IF(AND($W46&gt;0,$W46&lt;=$O$16),$E$45,0)</f>
        <v/>
      </c>
      <c r="AG46" s="345">
        <f>IF(AND(SUM($AA$16:AA45)&gt;0,SUM($AG$16:AG45)&lt;$O$62,$W46&gt;=$O$65),$O$64,0)</f>
        <v/>
      </c>
      <c r="AH46" s="351">
        <f>IF(SUM($AA$17:$AA45)&gt;0,($O$62-SUM($AG$17:$AG45))*$F$65,0)</f>
        <v/>
      </c>
      <c r="AI46" s="346">
        <f>SUM(AD46:AF46)</f>
        <v/>
      </c>
      <c r="AJ46" s="351">
        <f>AC46-AI46</f>
        <v/>
      </c>
      <c r="AK46" s="338">
        <f>(SUM($P$31,$P$51)-SUM($AU$17:AU45))*$O$109</f>
        <v/>
      </c>
      <c r="AL46" s="348" t="n"/>
      <c r="AM46" s="352">
        <f>AJ46*$BF46</f>
        <v/>
      </c>
      <c r="AN46" s="349" t="n"/>
      <c r="AO46" s="350">
        <f>IF($W46=$F$16,$P$61,0)</f>
        <v/>
      </c>
      <c r="AP46" s="351">
        <f>IF($W46=$F$16,$P$63,0)</f>
        <v/>
      </c>
      <c r="AQ46" s="351">
        <f>IF($W46=$F$16,$P$62,0)</f>
        <v/>
      </c>
      <c r="AR46" s="345">
        <f>IF($W46&lt;$O$16,IF(W46=$F$16,$U$92,$U$93),0)</f>
        <v/>
      </c>
      <c r="AS46" s="346">
        <f>SUM(AO46:AP46,AR46)</f>
        <v/>
      </c>
      <c r="AT46" s="345">
        <f>IF(W46=$F$16,$P$30,0)</f>
        <v/>
      </c>
      <c r="AU46" s="345">
        <f>IFERROR(-PPMT($P$36,W46-$F$16,$F$17,SUM(P$31,P$51)),0)</f>
        <v/>
      </c>
      <c r="AV46" s="345">
        <f>IFERROR(-IPMT($P$36,W46-$F$16,$F$17,SUM($P$31,$P$51)),0)</f>
        <v/>
      </c>
      <c r="AW46" s="345">
        <f>IF(AND(W46&gt;$F$16,W46&lt;=SUM($F$16:$F$17)),$P$43,0)</f>
        <v/>
      </c>
      <c r="AX46" s="345">
        <f>IF($W46=1,$F$44,0)+IF(AND($W46&gt;0,$W46&lt;=$O$16),$F$45,0)</f>
        <v/>
      </c>
      <c r="AY46" s="345">
        <f>IF(AND(W46&gt;$F$16,W46&lt;=SUM($F$16:$F$17)),$P$54,0)</f>
        <v/>
      </c>
      <c r="AZ46" s="345">
        <f>IF(AND(SUM($AQ$16:AQ45)&gt;0,SUM($AZ$16:AZ45)&lt;$P$62,$W46&gt;=$P$65),$P$64,0)</f>
        <v/>
      </c>
      <c r="BA46" s="345">
        <f>IF(SUM($AQ$17:$AQ45)&gt;0,($P$62-SUM($AZ$17:$AZ45))*$F$65,0)</f>
        <v/>
      </c>
      <c r="BB46" s="346">
        <f>SUM(AT46:AY46)</f>
        <v/>
      </c>
      <c r="BC46" s="351">
        <f>AS46-BB46</f>
        <v/>
      </c>
      <c r="BD46" s="352">
        <f>BC46*$BF46</f>
        <v/>
      </c>
      <c r="BE46" s="337" t="n"/>
      <c r="BF46" s="47">
        <f>BF45/(1+$O$22)</f>
        <v/>
      </c>
      <c r="BH46" s="350">
        <f>AT46</f>
        <v/>
      </c>
      <c r="BI46" s="350">
        <f>AU46</f>
        <v/>
      </c>
      <c r="BJ46" s="351">
        <f>AV46</f>
        <v/>
      </c>
      <c r="BK46" s="351">
        <f>AW46</f>
        <v/>
      </c>
      <c r="BL46" s="351">
        <f>AY46</f>
        <v/>
      </c>
      <c r="BM46" s="345">
        <f>IF($W46&gt;$F$16,$F$56,0)</f>
        <v/>
      </c>
      <c r="BN46" s="346">
        <f>SUM(BH46:BM46)</f>
        <v/>
      </c>
      <c r="BO46" s="351">
        <f>IF($W46=$F$16,$P$32,0)</f>
        <v/>
      </c>
      <c r="BP46" s="351">
        <f>IF(AND(W46&gt;$F$16,W46&lt;=SUM($F$16:$F$17)),$P$41,0)</f>
        <v/>
      </c>
      <c r="BQ46" s="351">
        <f>IFERROR(-IPMT($P$67,W46-$F$16,$F$17,SUM(P$31,P$51)),0)</f>
        <v/>
      </c>
      <c r="BR46" s="351">
        <f>IF($W46&lt;=$O$16,$F$105,0)</f>
        <v/>
      </c>
      <c r="BS46" s="353">
        <f>IF($W46=1,SUM($O$103,$O$105),0)</f>
        <v/>
      </c>
      <c r="BT46" s="351">
        <f>IF($W46&lt;$O$16,IF(W46=$F$16,$P$93,$P$94),0)</f>
        <v/>
      </c>
      <c r="BU46" s="346">
        <f>SUM(BO46:BP46,BR46:BT46)</f>
        <v/>
      </c>
      <c r="BV46" s="346">
        <f>BN46-BU46</f>
        <v/>
      </c>
      <c r="BW46" s="342" t="n"/>
      <c r="BX46" s="338">
        <f>IFERROR(-PPMT($P$67,$W46-$F$16,$F$17,SUM(P$31,P$51)),0)</f>
        <v/>
      </c>
      <c r="BY46" s="356">
        <f>IF(BV46-BX46&gt;=0,0,1)</f>
        <v/>
      </c>
      <c r="CA46" s="0" t="n"/>
    </row>
    <row r="47" ht="15.75" customHeight="1" s="302">
      <c r="F47" s="367" t="n">
        <v>1</v>
      </c>
      <c r="G47" s="0" t="n">
        <v>0</v>
      </c>
      <c r="H47" s="0" t="inlineStr">
        <is>
          <t>割賦金利に含めて支払</t>
        </is>
      </c>
      <c r="K47" s="0" t="inlineStr">
        <is>
          <t>SPC費用　年額</t>
        </is>
      </c>
      <c r="V47" s="58">
        <f>IF(W47=1,DATE(YEAR($F$18)+(MONTH($F$18)&gt;=4),4,0),EOMONTH(V46,12))</f>
        <v/>
      </c>
      <c r="W47" s="26" t="n">
        <v>31</v>
      </c>
      <c r="X47" s="282">
        <f>IF(W47&gt;$O$16,"-",IF($W47&lt;=$F$16,"整備期間","維持管理・運営期間"))</f>
        <v/>
      </c>
      <c r="Y47" s="344">
        <f>IF($W47=$F$16,$O$61,0)</f>
        <v/>
      </c>
      <c r="Z47" s="345">
        <f>IF($W47=$F$16,$O$63,0)</f>
        <v/>
      </c>
      <c r="AA47" s="345">
        <f>IF($W47=$F$16,$O$62,0)</f>
        <v/>
      </c>
      <c r="AB47" s="345">
        <f>IF(X47="維持管理・運営期間",$F$56,0)</f>
        <v/>
      </c>
      <c r="AC47" s="346">
        <f>SUM(Y47:Z47,AB47)</f>
        <v/>
      </c>
      <c r="AD47" s="344">
        <f>IF($W47=$F$16,$O$30,0)</f>
        <v/>
      </c>
      <c r="AE47" s="345">
        <f>IF($X47="維持管理・運営期間",$O$41,0)</f>
        <v/>
      </c>
      <c r="AF47" s="345">
        <f>IF(AND($W47&gt;0,$W47&lt;=$O$16),$E$45,0)</f>
        <v/>
      </c>
      <c r="AG47" s="345">
        <f>IF(AND(SUM($AA$16:AA46)&gt;0,SUM($AG$16:AG46)&lt;$O$62,$W47&gt;=$O$65),$O$64,0)</f>
        <v/>
      </c>
      <c r="AH47" s="351">
        <f>IF(SUM($AA$17:$AA46)&gt;0,($O$62-SUM($AG$17:$AG46))*$F$65,0)</f>
        <v/>
      </c>
      <c r="AI47" s="346">
        <f>SUM(AD47:AF47)</f>
        <v/>
      </c>
      <c r="AJ47" s="351">
        <f>AC47-AI47</f>
        <v/>
      </c>
      <c r="AK47" s="338">
        <f>(SUM($P$31,$P$51)-SUM($AU$17:AU46))*$O$109</f>
        <v/>
      </c>
      <c r="AL47" s="348" t="n"/>
      <c r="AM47" s="352">
        <f>AJ47*$BF47</f>
        <v/>
      </c>
      <c r="AN47" s="349" t="n"/>
      <c r="AO47" s="350">
        <f>IF($W47=$F$16,$P$61,0)</f>
        <v/>
      </c>
      <c r="AP47" s="351">
        <f>IF($W47=$F$16,$P$63,0)</f>
        <v/>
      </c>
      <c r="AQ47" s="351">
        <f>IF($W47=$F$16,$P$62,0)</f>
        <v/>
      </c>
      <c r="AR47" s="345">
        <f>IF($W47&lt;$O$16,IF(W47=$F$16,$U$92,$U$93),0)</f>
        <v/>
      </c>
      <c r="AS47" s="346">
        <f>SUM(AO47:AP47,AR47)</f>
        <v/>
      </c>
      <c r="AT47" s="345">
        <f>IF(W47=$F$16,$P$30,0)</f>
        <v/>
      </c>
      <c r="AU47" s="345">
        <f>IFERROR(-PPMT($P$36,W47-$F$16,$F$17,SUM(P$31,P$51)),0)</f>
        <v/>
      </c>
      <c r="AV47" s="345">
        <f>IFERROR(-IPMT($P$36,W47-$F$16,$F$17,SUM($P$31,$P$51)),0)</f>
        <v/>
      </c>
      <c r="AW47" s="345">
        <f>IF(AND(W47&gt;$F$16,W47&lt;=SUM($F$16:$F$17)),$P$43,0)</f>
        <v/>
      </c>
      <c r="AX47" s="345">
        <f>IF($W47=1,$F$44,0)+IF(AND($W47&gt;0,$W47&lt;=$O$16),$F$45,0)</f>
        <v/>
      </c>
      <c r="AY47" s="345">
        <f>IF(AND(W47&gt;$F$16,W47&lt;=SUM($F$16:$F$17)),$P$54,0)</f>
        <v/>
      </c>
      <c r="AZ47" s="345">
        <f>IF(AND(SUM($AQ$16:AQ46)&gt;0,SUM($AZ$16:AZ46)&lt;$P$62,$W47&gt;=$P$65),$P$64,0)</f>
        <v/>
      </c>
      <c r="BA47" s="345">
        <f>IF(SUM($AQ$17:$AQ46)&gt;0,($P$62-SUM($AZ$17:$AZ46))*$F$65,0)</f>
        <v/>
      </c>
      <c r="BB47" s="346">
        <f>SUM(AT47:AY47)</f>
        <v/>
      </c>
      <c r="BC47" s="351">
        <f>AS47-BB47</f>
        <v/>
      </c>
      <c r="BD47" s="352">
        <f>BC47*$BF47</f>
        <v/>
      </c>
      <c r="BE47" s="337" t="n"/>
      <c r="BF47" s="47">
        <f>BF46/(1+$O$22)</f>
        <v/>
      </c>
      <c r="BH47" s="350">
        <f>AT47</f>
        <v/>
      </c>
      <c r="BI47" s="350">
        <f>AU47</f>
        <v/>
      </c>
      <c r="BJ47" s="351">
        <f>AV47</f>
        <v/>
      </c>
      <c r="BK47" s="351">
        <f>AW47</f>
        <v/>
      </c>
      <c r="BL47" s="351">
        <f>AY47</f>
        <v/>
      </c>
      <c r="BM47" s="345">
        <f>IF($W47&gt;$F$16,$F$56,0)</f>
        <v/>
      </c>
      <c r="BN47" s="346">
        <f>SUM(BH47:BM47)</f>
        <v/>
      </c>
      <c r="BO47" s="351">
        <f>IF($W47=$F$16,$P$32,0)</f>
        <v/>
      </c>
      <c r="BP47" s="351">
        <f>IF(AND(W47&gt;$F$16,W47&lt;=SUM($F$16:$F$17)),$P$41,0)</f>
        <v/>
      </c>
      <c r="BQ47" s="351">
        <f>IFERROR(-IPMT($P$67,W47-$F$16,$F$17,SUM(P$31,P$51)),0)</f>
        <v/>
      </c>
      <c r="BR47" s="351">
        <f>IF($W47&lt;=$O$16,$F$105,0)</f>
        <v/>
      </c>
      <c r="BS47" s="353">
        <f>IF($W47=1,SUM($O$103,$O$105),0)</f>
        <v/>
      </c>
      <c r="BT47" s="351">
        <f>IF($W47&lt;$O$16,IF(W47=$F$16,$P$93,$P$94),0)</f>
        <v/>
      </c>
      <c r="BU47" s="346">
        <f>SUM(BO47:BP47,BR47:BT47)</f>
        <v/>
      </c>
      <c r="BV47" s="346">
        <f>BN47-BU47</f>
        <v/>
      </c>
      <c r="BW47" s="342" t="n"/>
      <c r="BX47" s="338">
        <f>IFERROR(-PPMT($P$67,$W47-$F$16,$F$17,SUM(P$31,P$51)),0)</f>
        <v/>
      </c>
      <c r="BY47" s="356">
        <f>IF(BV47-BX47&gt;=0,0,1)</f>
        <v/>
      </c>
      <c r="CA47" s="0" t="n"/>
    </row>
    <row r="48" ht="15.75" customHeight="1" s="302">
      <c r="G48" s="0" t="n">
        <v>1</v>
      </c>
      <c r="H48" s="0" t="inlineStr">
        <is>
          <t>サービス購入費として支払</t>
        </is>
      </c>
      <c r="I48" s="19" t="n"/>
      <c r="M48" s="0" t="inlineStr">
        <is>
          <t>SPC設立費用</t>
        </is>
      </c>
      <c r="N48" s="19" t="inlineStr">
        <is>
          <t>百万円</t>
        </is>
      </c>
      <c r="O48" s="362" t="n"/>
      <c r="P48" s="360">
        <f>F104</f>
        <v/>
      </c>
      <c r="V48" s="58">
        <f>IF(W48=1,DATE(YEAR($F$18)+(MONTH($F$18)&gt;=4),4,0),EOMONTH(V47,12))</f>
        <v/>
      </c>
      <c r="W48" s="26" t="n">
        <v>32</v>
      </c>
      <c r="X48" s="282">
        <f>IF(W48&gt;$O$16,"-",IF($W48&lt;=$F$16,"整備期間","維持管理・運営期間"))</f>
        <v/>
      </c>
      <c r="Y48" s="344">
        <f>IF($W48=$F$16,$O$61,0)</f>
        <v/>
      </c>
      <c r="Z48" s="345">
        <f>IF($W48=$F$16,$O$63,0)</f>
        <v/>
      </c>
      <c r="AA48" s="345">
        <f>IF($W48=$F$16,$O$62,0)</f>
        <v/>
      </c>
      <c r="AB48" s="345">
        <f>IF(X48="維持管理・運営期間",$F$56,0)</f>
        <v/>
      </c>
      <c r="AC48" s="346">
        <f>SUM(Y48:Z48,AB48)</f>
        <v/>
      </c>
      <c r="AD48" s="344">
        <f>IF($W48=$F$16,$O$30,0)</f>
        <v/>
      </c>
      <c r="AE48" s="345">
        <f>IF($X48="維持管理・運営期間",$O$41,0)</f>
        <v/>
      </c>
      <c r="AF48" s="345">
        <f>IF(AND($W48&gt;0,$W48&lt;=$O$16),$E$45,0)</f>
        <v/>
      </c>
      <c r="AG48" s="345">
        <f>IF(AND(SUM($AA$16:AA47)&gt;0,SUM($AG$16:AG47)&lt;$O$62,$W48&gt;=$O$65),$O$64,0)</f>
        <v/>
      </c>
      <c r="AH48" s="351">
        <f>IF(SUM($AA$17:$AA47)&gt;0,($O$62-SUM($AG$17:$AG47))*$F$65,0)</f>
        <v/>
      </c>
      <c r="AI48" s="346">
        <f>SUM(AD48:AF48)</f>
        <v/>
      </c>
      <c r="AJ48" s="351">
        <f>AC48-AI48</f>
        <v/>
      </c>
      <c r="AK48" s="338">
        <f>(SUM($P$31,$P$51)-SUM($AU$17:AU47))*$O$109</f>
        <v/>
      </c>
      <c r="AL48" s="348" t="n"/>
      <c r="AM48" s="352">
        <f>AJ48*$BF48</f>
        <v/>
      </c>
      <c r="AN48" s="349" t="n"/>
      <c r="AO48" s="350">
        <f>IF($W48=$F$16,$P$61,0)</f>
        <v/>
      </c>
      <c r="AP48" s="351">
        <f>IF($W48=$F$16,$P$63,0)</f>
        <v/>
      </c>
      <c r="AQ48" s="351">
        <f>IF($W48=$F$16,$P$62,0)</f>
        <v/>
      </c>
      <c r="AR48" s="345">
        <f>IF($W48&lt;$O$16,IF(W48=$F$16,$U$92,$U$93),0)</f>
        <v/>
      </c>
      <c r="AS48" s="346">
        <f>SUM(AO48:AP48,AR48)</f>
        <v/>
      </c>
      <c r="AT48" s="345">
        <f>IF(W48=$F$16,$P$30,0)</f>
        <v/>
      </c>
      <c r="AU48" s="345">
        <f>IFERROR(-PPMT($P$36,W48-$F$16,$F$17,SUM(P$31,P$51)),0)</f>
        <v/>
      </c>
      <c r="AV48" s="345">
        <f>IFERROR(-IPMT($P$36,W48-$F$16,$F$17,SUM($P$31,$P$51)),0)</f>
        <v/>
      </c>
      <c r="AW48" s="345">
        <f>IF(AND(W48&gt;$F$16,W48&lt;=SUM($F$16:$F$17)),$P$43,0)</f>
        <v/>
      </c>
      <c r="AX48" s="345">
        <f>IF($W48=1,$F$44,0)+IF(AND($W48&gt;0,$W48&lt;=$O$16),$F$45,0)</f>
        <v/>
      </c>
      <c r="AY48" s="345">
        <f>IF(AND(W48&gt;$F$16,W48&lt;=SUM($F$16:$F$17)),$P$54,0)</f>
        <v/>
      </c>
      <c r="AZ48" s="345">
        <f>IF(AND(SUM($AQ$16:AQ47)&gt;0,SUM($AZ$16:AZ47)&lt;$P$62,$W48&gt;=$P$65),$P$64,0)</f>
        <v/>
      </c>
      <c r="BA48" s="345">
        <f>IF(SUM($AQ$17:$AQ47)&gt;0,($P$62-SUM($AZ$17:$AZ47))*$F$65,0)</f>
        <v/>
      </c>
      <c r="BB48" s="346">
        <f>SUM(AT48:AY48)</f>
        <v/>
      </c>
      <c r="BC48" s="351">
        <f>AS48-BB48</f>
        <v/>
      </c>
      <c r="BD48" s="352">
        <f>BC48*$BF48</f>
        <v/>
      </c>
      <c r="BE48" s="337" t="n"/>
      <c r="BF48" s="47">
        <f>BF47/(1+$O$22)</f>
        <v/>
      </c>
      <c r="BH48" s="350">
        <f>AT48</f>
        <v/>
      </c>
      <c r="BI48" s="350">
        <f>AU48</f>
        <v/>
      </c>
      <c r="BJ48" s="351">
        <f>AV48</f>
        <v/>
      </c>
      <c r="BK48" s="351">
        <f>AW48</f>
        <v/>
      </c>
      <c r="BL48" s="351">
        <f>AY48</f>
        <v/>
      </c>
      <c r="BM48" s="345">
        <f>IF($W48&gt;$F$16,$F$56,0)</f>
        <v/>
      </c>
      <c r="BN48" s="346">
        <f>SUM(BH48:BM48)</f>
        <v/>
      </c>
      <c r="BO48" s="351">
        <f>IF($W48=$F$16,$P$32,0)</f>
        <v/>
      </c>
      <c r="BP48" s="351">
        <f>IF(AND(W48&gt;$F$16,W48&lt;=SUM($F$16:$F$17)),$P$41,0)</f>
        <v/>
      </c>
      <c r="BQ48" s="351">
        <f>IFERROR(-IPMT($P$67,W48-$F$16,$F$17,SUM(P$31,P$51)),0)</f>
        <v/>
      </c>
      <c r="BR48" s="351">
        <f>IF($W48&lt;=$O$16,$F$105,0)</f>
        <v/>
      </c>
      <c r="BS48" s="353">
        <f>IF($W48=1,SUM($O$103,$O$105),0)</f>
        <v/>
      </c>
      <c r="BT48" s="351">
        <f>IF($W48&lt;$O$16,IF(W48=$F$16,$P$93,$P$94),0)</f>
        <v/>
      </c>
      <c r="BU48" s="346">
        <f>SUM(BO48:BP48,BR48:BT48)</f>
        <v/>
      </c>
      <c r="BV48" s="346">
        <f>BN48-BU48</f>
        <v/>
      </c>
      <c r="BW48" s="342" t="n"/>
      <c r="BX48" s="338">
        <f>IFERROR(-PPMT($P$67,$W48-$F$16,$F$17,SUM(P$31,P$51)),0)</f>
        <v/>
      </c>
      <c r="BY48" s="356">
        <f>IF(BV48-BX48&gt;=0,0,1)</f>
        <v/>
      </c>
    </row>
    <row r="49" ht="15.75" customHeight="1" s="302">
      <c r="B49" s="93" t="inlineStr">
        <is>
          <t>2.6調整項目</t>
        </is>
      </c>
      <c r="M49" s="0" t="inlineStr">
        <is>
          <t>開業前SPC経費</t>
        </is>
      </c>
      <c r="N49" s="19" t="inlineStr">
        <is>
          <t>百万円</t>
        </is>
      </c>
      <c r="O49" s="368" t="n"/>
      <c r="P49" s="369">
        <f>F105*$F$16</f>
        <v/>
      </c>
      <c r="V49" s="58">
        <f>IF(W49=1,DATE(YEAR($F$18)+(MONTH($F$18)&gt;=4),4,0),EOMONTH(V48,12))</f>
        <v/>
      </c>
      <c r="W49" s="26" t="n">
        <v>33</v>
      </c>
      <c r="X49" s="282">
        <f>IF(W49&gt;$O$16,"-",IF($W49&lt;=$F$16,"整備期間","維持管理・運営期間"))</f>
        <v/>
      </c>
      <c r="Y49" s="344">
        <f>IF($W49=$F$16,$O$61,0)</f>
        <v/>
      </c>
      <c r="Z49" s="345">
        <f>IF($W49=$F$16,$O$63,0)</f>
        <v/>
      </c>
      <c r="AA49" s="345">
        <f>IF($W49=$F$16,$O$62,0)</f>
        <v/>
      </c>
      <c r="AB49" s="345">
        <f>IF(X49="維持管理・運営期間",$F$56,0)</f>
        <v/>
      </c>
      <c r="AC49" s="346">
        <f>SUM(Y49:Z49,AB49)</f>
        <v/>
      </c>
      <c r="AD49" s="344">
        <f>IF($W49=$F$16,$O$30,0)</f>
        <v/>
      </c>
      <c r="AE49" s="345">
        <f>IF($X49="維持管理・運営期間",$O$41,0)</f>
        <v/>
      </c>
      <c r="AF49" s="345">
        <f>IF(AND($W49&gt;0,$W49&lt;=$O$16),$E$45,0)</f>
        <v/>
      </c>
      <c r="AG49" s="345">
        <f>IF(AND(SUM($AA$16:AA48)&gt;0,SUM($AG$16:AG48)&lt;$O$62,$W49&gt;=$O$65),$O$64,0)</f>
        <v/>
      </c>
      <c r="AH49" s="351">
        <f>IF(SUM($AA$17:$AA48)&gt;0,($O$62-SUM($AG$17:$AG48))*$F$65,0)</f>
        <v/>
      </c>
      <c r="AI49" s="346">
        <f>SUM(AD49:AF49)</f>
        <v/>
      </c>
      <c r="AJ49" s="351">
        <f>AC49-AI49</f>
        <v/>
      </c>
      <c r="AK49" s="338">
        <f>(SUM($P$31,$P$51)-SUM($AU$17:AU48))*$O$109</f>
        <v/>
      </c>
      <c r="AL49" s="348" t="n"/>
      <c r="AM49" s="352">
        <f>AJ49*$BF49</f>
        <v/>
      </c>
      <c r="AN49" s="349" t="n"/>
      <c r="AO49" s="350">
        <f>IF($W49=$F$16,$P$61,0)</f>
        <v/>
      </c>
      <c r="AP49" s="351">
        <f>IF($W49=$F$16,$P$63,0)</f>
        <v/>
      </c>
      <c r="AQ49" s="351">
        <f>IF($W49=$F$16,$P$62,0)</f>
        <v/>
      </c>
      <c r="AR49" s="345">
        <f>IF($W49&lt;$O$16,IF(W49=$F$16,$U$92,$U$93),0)</f>
        <v/>
      </c>
      <c r="AS49" s="346">
        <f>SUM(AO49:AP49,AR49)</f>
        <v/>
      </c>
      <c r="AT49" s="345">
        <f>IF(W49=$F$16,$P$30,0)</f>
        <v/>
      </c>
      <c r="AU49" s="345">
        <f>IFERROR(-PPMT($P$36,W49-$F$16,$F$17,SUM(P$31,P$51)),0)</f>
        <v/>
      </c>
      <c r="AV49" s="345">
        <f>IFERROR(-IPMT($P$36,W49-$F$16,$F$17,SUM($P$31,$P$51)),0)</f>
        <v/>
      </c>
      <c r="AW49" s="345">
        <f>IF(AND(W49&gt;$F$16,W49&lt;=SUM($F$16:$F$17)),$P$43,0)</f>
        <v/>
      </c>
      <c r="AX49" s="345">
        <f>IF($W49=1,$F$44,0)+IF(AND($W49&gt;0,$W49&lt;=$O$16),$F$45,0)</f>
        <v/>
      </c>
      <c r="AY49" s="345">
        <f>IF(AND(W49&gt;$F$16,W49&lt;=SUM($F$16:$F$17)),$P$54,0)</f>
        <v/>
      </c>
      <c r="AZ49" s="345">
        <f>IF(AND(SUM($AQ$16:AQ48)&gt;0,SUM($AZ$16:AZ48)&lt;$P$62,$W49&gt;=$P$65),$P$64,0)</f>
        <v/>
      </c>
      <c r="BA49" s="345">
        <f>IF(SUM($AQ$17:$AQ48)&gt;0,($P$62-SUM($AZ$17:$AZ48))*$F$65,0)</f>
        <v/>
      </c>
      <c r="BB49" s="346">
        <f>SUM(AT49:AY49)</f>
        <v/>
      </c>
      <c r="BC49" s="351">
        <f>AS49-BB49</f>
        <v/>
      </c>
      <c r="BD49" s="352">
        <f>BC49*$BF49</f>
        <v/>
      </c>
      <c r="BE49" s="337" t="n"/>
      <c r="BF49" s="47">
        <f>BF48/(1+$O$22)</f>
        <v/>
      </c>
      <c r="BH49" s="350">
        <f>AT49</f>
        <v/>
      </c>
      <c r="BI49" s="350">
        <f>AU49</f>
        <v/>
      </c>
      <c r="BJ49" s="351">
        <f>AV49</f>
        <v/>
      </c>
      <c r="BK49" s="351">
        <f>AW49</f>
        <v/>
      </c>
      <c r="BL49" s="351">
        <f>AY49</f>
        <v/>
      </c>
      <c r="BM49" s="345">
        <f>IF($W49&gt;$F$16,$F$56,0)</f>
        <v/>
      </c>
      <c r="BN49" s="346">
        <f>SUM(BH49:BM49)</f>
        <v/>
      </c>
      <c r="BO49" s="351">
        <f>IF($W49=$F$16,$P$32,0)</f>
        <v/>
      </c>
      <c r="BP49" s="351">
        <f>IF(AND(W49&gt;$F$16,W49&lt;=SUM($F$16:$F$17)),$P$41,0)</f>
        <v/>
      </c>
      <c r="BQ49" s="351">
        <f>IFERROR(-IPMT($P$67,W49-$F$16,$F$17,SUM(P$31,P$51)),0)</f>
        <v/>
      </c>
      <c r="BR49" s="351">
        <f>IF($W49&lt;=$O$16,$F$105,0)</f>
        <v/>
      </c>
      <c r="BS49" s="353">
        <f>IF($W49=1,SUM($O$103,$O$105),0)</f>
        <v/>
      </c>
      <c r="BT49" s="351">
        <f>IF($W49&lt;$O$16,IF(W49=$F$16,$P$93,$P$94),0)</f>
        <v/>
      </c>
      <c r="BU49" s="346">
        <f>SUM(BO49:BP49,BR49:BT49)</f>
        <v/>
      </c>
      <c r="BV49" s="346">
        <f>BN49-BU49</f>
        <v/>
      </c>
      <c r="BW49" s="342" t="n"/>
      <c r="BX49" s="338">
        <f>IFERROR(-PPMT($P$67,$W49-$F$16,$F$17,SUM(P$31,P$51)),0)</f>
        <v/>
      </c>
      <c r="BY49" s="356">
        <f>IF(BV49-BX49&gt;=0,0,1)</f>
        <v/>
      </c>
    </row>
    <row r="50" ht="15.75" customHeight="1" s="302" thickBot="1">
      <c r="C50" s="56" t="inlineStr">
        <is>
          <t>競争の効果反映</t>
        </is>
      </c>
      <c r="D50" s="0" t="inlineStr">
        <is>
          <t>％</t>
        </is>
      </c>
      <c r="F50" s="268" t="n">
        <v>0.95</v>
      </c>
      <c r="H50" s="56" t="inlineStr">
        <is>
          <t>*デフォルト値として記載</t>
        </is>
      </c>
      <c r="M50" s="0" t="inlineStr">
        <is>
          <t>引渡時SPC税金負担</t>
        </is>
      </c>
      <c r="N50" s="19" t="inlineStr">
        <is>
          <t>百万円</t>
        </is>
      </c>
      <c r="O50" s="368" t="n"/>
      <c r="P50" s="369">
        <f>SUM(P82,P86)+P92</f>
        <v/>
      </c>
      <c r="Q50" s="0" t="inlineStr">
        <is>
          <t>引渡時の不動産取得税・登録免許税</t>
        </is>
      </c>
      <c r="V50" s="58">
        <f>IF(W50=1,DATE(YEAR($F$18)+(MONTH($F$18)&gt;=4),4,0),EOMONTH(V49,12))</f>
        <v/>
      </c>
      <c r="W50" s="26" t="n">
        <v>34</v>
      </c>
      <c r="X50" s="282">
        <f>IF(W50&gt;$O$16,"-",IF($W50&lt;=$F$16,"整備期間","維持管理・運営期間"))</f>
        <v/>
      </c>
      <c r="Y50" s="344">
        <f>IF($W50=$F$16,$O$61,0)</f>
        <v/>
      </c>
      <c r="Z50" s="345">
        <f>IF($W50=$F$16,$O$63,0)</f>
        <v/>
      </c>
      <c r="AA50" s="345">
        <f>IF($W50=$F$16,$O$62,0)</f>
        <v/>
      </c>
      <c r="AB50" s="345">
        <f>IF(X50="維持管理・運営期間",$F$56,0)</f>
        <v/>
      </c>
      <c r="AC50" s="346">
        <f>SUM(Y50:Z50,AB50)</f>
        <v/>
      </c>
      <c r="AD50" s="344">
        <f>IF($W50=$F$16,$O$30,0)</f>
        <v/>
      </c>
      <c r="AE50" s="345">
        <f>IF($X50="維持管理・運営期間",$O$41,0)</f>
        <v/>
      </c>
      <c r="AF50" s="345">
        <f>IF(AND($W50&gt;0,$W50&lt;=$O$16),$E$45,0)</f>
        <v/>
      </c>
      <c r="AG50" s="345">
        <f>IF(AND(SUM($AA$16:AA49)&gt;0,SUM($AG$16:AG49)&lt;$O$62,$W50&gt;=$O$65),$O$64,0)</f>
        <v/>
      </c>
      <c r="AH50" s="351">
        <f>IF(SUM($AA$17:$AA49)&gt;0,($O$62-SUM($AG$17:$AG49))*$F$65,0)</f>
        <v/>
      </c>
      <c r="AI50" s="346">
        <f>SUM(AD50:AF50)</f>
        <v/>
      </c>
      <c r="AJ50" s="351">
        <f>AC50-AI50</f>
        <v/>
      </c>
      <c r="AK50" s="338">
        <f>(SUM($P$31,$P$51)-SUM($AU$17:AU49))*$O$109</f>
        <v/>
      </c>
      <c r="AL50" s="348" t="n"/>
      <c r="AM50" s="352">
        <f>AJ50*$BF50</f>
        <v/>
      </c>
      <c r="AN50" s="349" t="n"/>
      <c r="AO50" s="350">
        <f>IF($W50=$F$16,$P$61,0)</f>
        <v/>
      </c>
      <c r="AP50" s="351">
        <f>IF($W50=$F$16,$P$63,0)</f>
        <v/>
      </c>
      <c r="AQ50" s="351">
        <f>IF($W50=$F$16,$P$62,0)</f>
        <v/>
      </c>
      <c r="AR50" s="345">
        <f>IF($W50&lt;$O$16,IF(W50=$F$16,$U$92,$U$93),0)</f>
        <v/>
      </c>
      <c r="AS50" s="346">
        <f>SUM(AO50:AP50,AR50)</f>
        <v/>
      </c>
      <c r="AT50" s="345">
        <f>IF(W50=$F$16,$P$30,0)</f>
        <v/>
      </c>
      <c r="AU50" s="345">
        <f>IFERROR(-PPMT($P$36,W50-$F$16,$F$17,SUM(P$31,P$51)),0)</f>
        <v/>
      </c>
      <c r="AV50" s="345">
        <f>IFERROR(-IPMT($P$36,W50-$F$16,$F$17,SUM($P$31,$P$51)),0)</f>
        <v/>
      </c>
      <c r="AW50" s="345">
        <f>IF(AND(W50&gt;$F$16,W50&lt;=SUM($F$16:$F$17)),$P$43,0)</f>
        <v/>
      </c>
      <c r="AX50" s="345">
        <f>IF($W50=1,$F$44,0)+IF(AND($W50&gt;0,$W50&lt;=$O$16),$F$45,0)</f>
        <v/>
      </c>
      <c r="AY50" s="345">
        <f>IF(AND(W50&gt;$F$16,W50&lt;=SUM($F$16:$F$17)),$P$54,0)</f>
        <v/>
      </c>
      <c r="AZ50" s="345">
        <f>IF(AND(SUM($AQ$16:AQ49)&gt;0,SUM($AZ$16:AZ49)&lt;$P$62,$W50&gt;=$P$65),$P$64,0)</f>
        <v/>
      </c>
      <c r="BA50" s="345">
        <f>IF(SUM($AQ$17:$AQ49)&gt;0,($P$62-SUM($AZ$17:$AZ49))*$F$65,0)</f>
        <v/>
      </c>
      <c r="BB50" s="346">
        <f>SUM(AT50:AY50)</f>
        <v/>
      </c>
      <c r="BC50" s="351">
        <f>AS50-BB50</f>
        <v/>
      </c>
      <c r="BD50" s="352">
        <f>BC50*$BF50</f>
        <v/>
      </c>
      <c r="BE50" s="337" t="n"/>
      <c r="BF50" s="47">
        <f>BF49/(1+$O$22)</f>
        <v/>
      </c>
      <c r="BH50" s="350">
        <f>AT50</f>
        <v/>
      </c>
      <c r="BI50" s="350">
        <f>AU50</f>
        <v/>
      </c>
      <c r="BJ50" s="351">
        <f>AV50</f>
        <v/>
      </c>
      <c r="BK50" s="351">
        <f>AW50</f>
        <v/>
      </c>
      <c r="BL50" s="351">
        <f>AY50</f>
        <v/>
      </c>
      <c r="BM50" s="345">
        <f>IF($W50&gt;$F$16,$F$56,0)</f>
        <v/>
      </c>
      <c r="BN50" s="346">
        <f>SUM(BH50:BM50)</f>
        <v/>
      </c>
      <c r="BO50" s="351">
        <f>IF($W50=$F$16,$P$32,0)</f>
        <v/>
      </c>
      <c r="BP50" s="351">
        <f>IF(AND(W50&gt;$F$16,W50&lt;=SUM($F$16:$F$17)),$P$41,0)</f>
        <v/>
      </c>
      <c r="BQ50" s="351">
        <f>IFERROR(-IPMT($P$67,W50-$F$16,$F$17,SUM(P$31,P$51)),0)</f>
        <v/>
      </c>
      <c r="BR50" s="351">
        <f>IF($W50&lt;=$O$16,$F$105,0)</f>
        <v/>
      </c>
      <c r="BS50" s="353">
        <f>IF($W50=1,SUM($O$103,$O$105),0)</f>
        <v/>
      </c>
      <c r="BT50" s="351">
        <f>IF($W50&lt;$O$16,IF(W50=$F$16,$P$93,$P$94),0)</f>
        <v/>
      </c>
      <c r="BU50" s="346">
        <f>SUM(BO50:BP50,BR50:BT50)</f>
        <v/>
      </c>
      <c r="BV50" s="346">
        <f>BN50-BU50</f>
        <v/>
      </c>
      <c r="BW50" s="342" t="n"/>
      <c r="BX50" s="338">
        <f>IFERROR(-PPMT($P$67,$W50-$F$16,$F$17,SUM(P$31,P$51)),0)</f>
        <v/>
      </c>
      <c r="BY50" s="356">
        <f>IF(BV50-BX50&gt;=0,0,1)</f>
        <v/>
      </c>
    </row>
    <row r="51" ht="15.75" customHeight="1" s="302" thickBot="1">
      <c r="B51" s="56" t="n"/>
      <c r="C51" s="56" t="inlineStr">
        <is>
          <t>民間が実施する場合の削減率（施設整備）</t>
        </is>
      </c>
      <c r="D51" s="0" t="inlineStr">
        <is>
          <t>％</t>
        </is>
      </c>
      <c r="F51" s="199">
        <f>事業費用概算!H32</f>
        <v/>
      </c>
      <c r="H51" s="150" t="inlineStr">
        <is>
          <t>PFIとの差異を設定する必要</t>
        </is>
      </c>
      <c r="K51" s="124" t="inlineStr">
        <is>
          <t>サービス購入費（設立時費用）*サービス購入費に含める場合</t>
        </is>
      </c>
      <c r="L51" s="125" t="n"/>
      <c r="M51" s="125" t="n"/>
      <c r="N51" s="126" t="inlineStr">
        <is>
          <t>百万円</t>
        </is>
      </c>
      <c r="O51" s="370" t="n"/>
      <c r="P51" s="371">
        <f>SUM(P48:P49)*$F$47</f>
        <v/>
      </c>
      <c r="Q51" s="0" t="inlineStr">
        <is>
          <t>割賦元本に加算</t>
        </is>
      </c>
      <c r="V51" s="58">
        <f>IF(W51=1,DATE(YEAR($F$18)+(MONTH($F$18)&gt;=4),4,0),EOMONTH(V50,12))</f>
        <v/>
      </c>
      <c r="W51" s="26" t="n">
        <v>35</v>
      </c>
      <c r="X51" s="282">
        <f>IF(W51&gt;$O$16,"-",IF($W51&lt;=$F$16,"整備期間","維持管理・運営期間"))</f>
        <v/>
      </c>
      <c r="Y51" s="344">
        <f>IF($W51=$F$16,$O$61,0)</f>
        <v/>
      </c>
      <c r="Z51" s="345">
        <f>IF($W51=$F$16,$O$63,0)</f>
        <v/>
      </c>
      <c r="AA51" s="345">
        <f>IF($W51=$F$16,$O$62,0)</f>
        <v/>
      </c>
      <c r="AB51" s="345">
        <f>IF(X51="維持管理・運営期間",$F$56,0)</f>
        <v/>
      </c>
      <c r="AC51" s="346">
        <f>SUM(Y51:Z51,AB51)</f>
        <v/>
      </c>
      <c r="AD51" s="344">
        <f>IF($W51=$F$16,$O$30,0)</f>
        <v/>
      </c>
      <c r="AE51" s="345">
        <f>IF($X51="維持管理・運営期間",$O$41,0)</f>
        <v/>
      </c>
      <c r="AF51" s="345">
        <f>IF(AND($W51&gt;0,$W51&lt;=$O$16),$E$45,0)</f>
        <v/>
      </c>
      <c r="AG51" s="345">
        <f>IF(AND(SUM($AA$16:AA50)&gt;0,SUM($AG$16:AG50)&lt;$O$62,$W51&gt;=$O$65),$O$64,0)</f>
        <v/>
      </c>
      <c r="AH51" s="351">
        <f>IF(SUM($AA$17:$AA50)&gt;0,($O$62-SUM($AG$17:$AG50))*$F$65,0)</f>
        <v/>
      </c>
      <c r="AI51" s="346">
        <f>SUM(AD51:AF51)</f>
        <v/>
      </c>
      <c r="AJ51" s="351">
        <f>AC51-AI51</f>
        <v/>
      </c>
      <c r="AK51" s="338">
        <f>(SUM($P$31,$P$51)-SUM($AU$17:AU50))*$O$109</f>
        <v/>
      </c>
      <c r="AL51" s="348" t="n"/>
      <c r="AM51" s="352">
        <f>AJ51*$BF51</f>
        <v/>
      </c>
      <c r="AN51" s="349" t="n"/>
      <c r="AO51" s="350">
        <f>IF($W51=$F$16,$P$61,0)</f>
        <v/>
      </c>
      <c r="AP51" s="351">
        <f>IF($W51=$F$16,$P$63,0)</f>
        <v/>
      </c>
      <c r="AQ51" s="351">
        <f>IF($W51=$F$16,$P$62,0)</f>
        <v/>
      </c>
      <c r="AR51" s="345">
        <f>IF($W51&lt;$O$16,IF(W51=$F$16,$U$92,$U$93),0)</f>
        <v/>
      </c>
      <c r="AS51" s="346">
        <f>SUM(AO51:AP51,AR51)</f>
        <v/>
      </c>
      <c r="AT51" s="345">
        <f>IF(W51=$F$16,$P$30,0)</f>
        <v/>
      </c>
      <c r="AU51" s="345">
        <f>IFERROR(-PPMT($P$36,W51-$F$16,$F$17,SUM(P$31,P$51)),0)</f>
        <v/>
      </c>
      <c r="AV51" s="345">
        <f>IFERROR(-IPMT($P$36,W51-$F$16,$F$17,SUM($P$31,$P$51)),0)</f>
        <v/>
      </c>
      <c r="AW51" s="345">
        <f>IF(AND(W51&gt;$F$16,W51&lt;=SUM($F$16:$F$17)),$P$43,0)</f>
        <v/>
      </c>
      <c r="AX51" s="345">
        <f>IF($W51=1,$F$44,0)+IF(AND($W51&gt;0,$W51&lt;=$O$16),$F$45,0)</f>
        <v/>
      </c>
      <c r="AY51" s="345">
        <f>IF(AND(W51&gt;$F$16,W51&lt;=SUM($F$16:$F$17)),$P$54,0)</f>
        <v/>
      </c>
      <c r="AZ51" s="345">
        <f>IF(AND(SUM($AQ$16:AQ50)&gt;0,SUM($AZ$16:AZ50)&lt;$P$62,$W51&gt;=$P$65),$P$64,0)</f>
        <v/>
      </c>
      <c r="BA51" s="345">
        <f>IF(SUM($AQ$17:$AQ50)&gt;0,($P$62-SUM($AZ$17:$AZ50))*$F$65,0)</f>
        <v/>
      </c>
      <c r="BB51" s="346">
        <f>SUM(AT51:AY51)</f>
        <v/>
      </c>
      <c r="BC51" s="351">
        <f>AS51-BB51</f>
        <v/>
      </c>
      <c r="BD51" s="352">
        <f>BC51*$BF51</f>
        <v/>
      </c>
      <c r="BE51" s="337" t="n"/>
      <c r="BF51" s="47">
        <f>BF50/(1+$O$22)</f>
        <v/>
      </c>
      <c r="BH51" s="350">
        <f>AT51</f>
        <v/>
      </c>
      <c r="BI51" s="350">
        <f>AU51</f>
        <v/>
      </c>
      <c r="BJ51" s="351">
        <f>AV51</f>
        <v/>
      </c>
      <c r="BK51" s="351">
        <f>AW51</f>
        <v/>
      </c>
      <c r="BL51" s="351">
        <f>AY51</f>
        <v/>
      </c>
      <c r="BM51" s="345">
        <f>IF($W51&gt;$F$16,$F$56,0)</f>
        <v/>
      </c>
      <c r="BN51" s="346">
        <f>SUM(BH51:BM51)</f>
        <v/>
      </c>
      <c r="BO51" s="351">
        <f>IF($W51=$F$16,$P$32,0)</f>
        <v/>
      </c>
      <c r="BP51" s="351">
        <f>IF(AND(W51&gt;$F$16,W51&lt;=SUM($F$16:$F$17)),$P$41,0)</f>
        <v/>
      </c>
      <c r="BQ51" s="351">
        <f>IFERROR(-IPMT($P$67,W51-$F$16,$F$17,SUM(P$31,P$51)),0)</f>
        <v/>
      </c>
      <c r="BR51" s="351">
        <f>IF($W51&lt;=$O$16,$F$105,0)</f>
        <v/>
      </c>
      <c r="BS51" s="353">
        <f>IF($W51=1,SUM($O$103,$O$105),0)</f>
        <v/>
      </c>
      <c r="BT51" s="351">
        <f>IF($W51&lt;$O$16,IF(W51=$F$16,$P$93,$P$94),0)</f>
        <v/>
      </c>
      <c r="BU51" s="346">
        <f>SUM(BO51:BP51,BR51:BT51)</f>
        <v/>
      </c>
      <c r="BV51" s="346">
        <f>BN51-BU51</f>
        <v/>
      </c>
      <c r="BW51" s="342" t="n"/>
      <c r="BX51" s="338">
        <f>IFERROR(-PPMT($P$67,$W51-$F$16,$F$17,SUM(P$31,P$51)),0)</f>
        <v/>
      </c>
      <c r="BY51" s="356">
        <f>IF(BV51-BX51&gt;=0,0,1)</f>
        <v/>
      </c>
    </row>
    <row r="52" ht="15.75" customHeight="1" s="302">
      <c r="B52" s="56" t="n"/>
      <c r="C52" s="56" t="inlineStr">
        <is>
          <t>民間が実施する場合の削減率（維持管理運営）</t>
        </is>
      </c>
      <c r="D52" s="0" t="inlineStr">
        <is>
          <t>％</t>
        </is>
      </c>
      <c r="F52" s="139" t="n"/>
      <c r="H52" s="150" t="inlineStr">
        <is>
          <t>維持管理・運営なし</t>
        </is>
      </c>
      <c r="M52" s="0" t="inlineStr">
        <is>
          <t>SPC経費　年額</t>
        </is>
      </c>
      <c r="N52" s="19" t="inlineStr">
        <is>
          <t>百万円</t>
        </is>
      </c>
      <c r="O52" s="372" t="n"/>
      <c r="P52" s="373">
        <f>F105</f>
        <v/>
      </c>
      <c r="V52" s="58">
        <f>IF(W52=1,DATE(YEAR($F$18)+(MONTH($F$18)&gt;=4),4,0),EOMONTH(V51,12))</f>
        <v/>
      </c>
      <c r="W52" s="26" t="n">
        <v>36</v>
      </c>
      <c r="X52" s="282">
        <f>IF(W52&gt;$O$16,"-",IF($W52&lt;=$F$16,"整備期間","維持管理・運営期間"))</f>
        <v/>
      </c>
      <c r="Y52" s="344">
        <f>IF($W52=$F$16,$O$61,0)</f>
        <v/>
      </c>
      <c r="Z52" s="345">
        <f>IF($W52=$F$16,$O$63,0)</f>
        <v/>
      </c>
      <c r="AA52" s="345">
        <f>IF($W52=$F$16,$O$62,0)</f>
        <v/>
      </c>
      <c r="AB52" s="345">
        <f>IF(X52="維持管理・運営期間",$F$56,0)</f>
        <v/>
      </c>
      <c r="AC52" s="346">
        <f>SUM(Y52:Z52,AB52)</f>
        <v/>
      </c>
      <c r="AD52" s="344">
        <f>IF($W52=$F$16,$O$30,0)</f>
        <v/>
      </c>
      <c r="AE52" s="345">
        <f>IF($X52="維持管理・運営期間",$O$41,0)</f>
        <v/>
      </c>
      <c r="AF52" s="345">
        <f>IF(AND($W52&gt;0,$W52&lt;=$O$16),$E$45,0)</f>
        <v/>
      </c>
      <c r="AG52" s="345">
        <f>IF(AND(SUM($AA$16:AA51)&gt;0,SUM($AG$16:AG51)&lt;$O$62,$W52&gt;=$O$65),$O$64,0)</f>
        <v/>
      </c>
      <c r="AH52" s="351">
        <f>IF(SUM($AA$17:$AA51)&gt;0,($O$62-SUM($AG$17:$AG51))*$F$65,0)</f>
        <v/>
      </c>
      <c r="AI52" s="346">
        <f>SUM(AD52:AF52)</f>
        <v/>
      </c>
      <c r="AJ52" s="351">
        <f>AC52-AI52</f>
        <v/>
      </c>
      <c r="AK52" s="338">
        <f>(SUM($P$31,$P$51)-SUM($AU$17:AU51))*$O$109</f>
        <v/>
      </c>
      <c r="AL52" s="348" t="n"/>
      <c r="AM52" s="352">
        <f>AJ52*$BF52</f>
        <v/>
      </c>
      <c r="AN52" s="349" t="n"/>
      <c r="AO52" s="350">
        <f>IF($W52=$F$16,$P$61,0)</f>
        <v/>
      </c>
      <c r="AP52" s="351">
        <f>IF($W52=$F$16,$P$63,0)</f>
        <v/>
      </c>
      <c r="AQ52" s="351">
        <f>IF($W52=$F$16,$P$62,0)</f>
        <v/>
      </c>
      <c r="AR52" s="345">
        <f>IF($W52&lt;$O$16,IF(W52=$F$16,$U$92,$U$93),0)</f>
        <v/>
      </c>
      <c r="AS52" s="346">
        <f>SUM(AO52:AP52,AR52)</f>
        <v/>
      </c>
      <c r="AT52" s="345">
        <f>IF(W52=$F$16,$P$30,0)</f>
        <v/>
      </c>
      <c r="AU52" s="345">
        <f>IFERROR(-PPMT($P$36,W52-$F$16,$F$17,SUM(P$31,P$51)),0)</f>
        <v/>
      </c>
      <c r="AV52" s="345">
        <f>IFERROR(-IPMT($P$36,W52-$F$16,$F$17,SUM($P$31,$P$51)),0)</f>
        <v/>
      </c>
      <c r="AW52" s="345">
        <f>IF(AND(W52&gt;$F$16,W52&lt;=SUM($F$16:$F$17)),$P$43,0)</f>
        <v/>
      </c>
      <c r="AX52" s="345">
        <f>IF($W52=1,$F$44,0)+IF(AND($W52&gt;0,$W52&lt;=$O$16),$F$45,0)</f>
        <v/>
      </c>
      <c r="AY52" s="345">
        <f>IF(AND(W52&gt;$F$16,W52&lt;=SUM($F$16:$F$17)),$P$54,0)</f>
        <v/>
      </c>
      <c r="AZ52" s="345">
        <f>IF(AND(SUM($AQ$16:AQ51)&gt;0,SUM($AZ$16:AZ51)&lt;$P$62,$W52&gt;=$P$65),$P$64,0)</f>
        <v/>
      </c>
      <c r="BA52" s="345">
        <f>IF(SUM($AQ$17:$AQ51)&gt;0,($P$62-SUM($AZ$17:$AZ51))*$F$65,0)</f>
        <v/>
      </c>
      <c r="BB52" s="346">
        <f>SUM(AT52:AY52)</f>
        <v/>
      </c>
      <c r="BC52" s="351">
        <f>AS52-BB52</f>
        <v/>
      </c>
      <c r="BD52" s="352">
        <f>BC52*$BF52</f>
        <v/>
      </c>
      <c r="BE52" s="337" t="n"/>
      <c r="BF52" s="47">
        <f>BF51/(1+$O$22)</f>
        <v/>
      </c>
      <c r="BH52" s="350">
        <f>AT52</f>
        <v/>
      </c>
      <c r="BI52" s="350">
        <f>AU52</f>
        <v/>
      </c>
      <c r="BJ52" s="351">
        <f>AV52</f>
        <v/>
      </c>
      <c r="BK52" s="351">
        <f>AW52</f>
        <v/>
      </c>
      <c r="BL52" s="351">
        <f>AY52</f>
        <v/>
      </c>
      <c r="BM52" s="345">
        <f>IF($W52&gt;$F$16,$F$56,0)</f>
        <v/>
      </c>
      <c r="BN52" s="346">
        <f>SUM(BH52:BM52)</f>
        <v/>
      </c>
      <c r="BO52" s="351">
        <f>IF($W52=$F$16,$P$32,0)</f>
        <v/>
      </c>
      <c r="BP52" s="351">
        <f>IF(AND(W52&gt;$F$16,W52&lt;=SUM($F$16:$F$17)),$P$41,0)</f>
        <v/>
      </c>
      <c r="BQ52" s="351">
        <f>IFERROR(-IPMT($P$67,W52-$F$16,$F$17,SUM(P$31,P$51)),0)</f>
        <v/>
      </c>
      <c r="BR52" s="351">
        <f>IF($W52&lt;=$O$16,$F$105,0)</f>
        <v/>
      </c>
      <c r="BS52" s="353">
        <f>IF($W52=1,SUM($O$103,$O$105),0)</f>
        <v/>
      </c>
      <c r="BT52" s="351">
        <f>IF($W52&lt;$O$16,IF(W52=$F$16,$P$93,$P$94),0)</f>
        <v/>
      </c>
      <c r="BU52" s="346">
        <f>SUM(BO52:BP52,BR52:BT52)</f>
        <v/>
      </c>
      <c r="BV52" s="346">
        <f>BN52-BU52</f>
        <v/>
      </c>
      <c r="BW52" s="342" t="n"/>
      <c r="BX52" s="338">
        <f>IFERROR(-PPMT($P$67,$W52-$F$16,$F$17,SUM(P$31,P$51)),0)</f>
        <v/>
      </c>
      <c r="BY52" s="356">
        <f>IF(BV52-BX52&gt;=0,0,1)</f>
        <v/>
      </c>
    </row>
    <row r="53" ht="15.75" customHeight="1" s="302" thickBot="1">
      <c r="M53" s="0" t="inlineStr">
        <is>
          <t>SPC税金負担</t>
        </is>
      </c>
      <c r="N53" s="19" t="inlineStr">
        <is>
          <t>百万円</t>
        </is>
      </c>
      <c r="O53" s="372" t="n"/>
      <c r="P53" s="131">
        <f>P94</f>
        <v/>
      </c>
      <c r="V53" s="58">
        <f>IF(W53=1,DATE(YEAR($F$18)+(MONTH($F$18)&gt;=4),4,0),EOMONTH(V52,12))</f>
        <v/>
      </c>
      <c r="W53" s="26" t="n">
        <v>37</v>
      </c>
      <c r="X53" s="282">
        <f>IF(W53&gt;$O$16,"-",IF($W53&lt;=$F$16,"整備期間","維持管理・運営期間"))</f>
        <v/>
      </c>
      <c r="Y53" s="344">
        <f>IF($W53=$F$16,$O$61,0)</f>
        <v/>
      </c>
      <c r="Z53" s="345">
        <f>IF($W53=$F$16,$O$63,0)</f>
        <v/>
      </c>
      <c r="AA53" s="345">
        <f>IF($W53=$F$16,$O$62,0)</f>
        <v/>
      </c>
      <c r="AB53" s="345">
        <f>IF(X53="維持管理・運営期間",$F$56,0)</f>
        <v/>
      </c>
      <c r="AC53" s="346">
        <f>SUM(Y53:Z53,AB53)</f>
        <v/>
      </c>
      <c r="AD53" s="344">
        <f>IF($W53=$F$16,$O$30,0)</f>
        <v/>
      </c>
      <c r="AE53" s="345">
        <f>IF($X53="維持管理・運営期間",$O$41,0)</f>
        <v/>
      </c>
      <c r="AF53" s="345">
        <f>IF(AND($W53&gt;0,$W53&lt;=$O$16),$E$45,0)</f>
        <v/>
      </c>
      <c r="AG53" s="345">
        <f>IF(AND(SUM($AA$16:AA52)&gt;0,SUM($AG$16:AG52)&lt;$O$62,$W53&gt;=$O$65),$O$64,0)</f>
        <v/>
      </c>
      <c r="AH53" s="351">
        <f>IF(SUM($AA$17:$AA52)&gt;0,($O$62-SUM($AG$17:$AG52))*$F$65,0)</f>
        <v/>
      </c>
      <c r="AI53" s="346">
        <f>SUM(AD53:AF53)</f>
        <v/>
      </c>
      <c r="AJ53" s="351">
        <f>AC53-AI53</f>
        <v/>
      </c>
      <c r="AK53" s="338">
        <f>(SUM($P$31,$P$51)-SUM($AU$17:AU52))*$O$109</f>
        <v/>
      </c>
      <c r="AL53" s="348" t="n"/>
      <c r="AM53" s="352">
        <f>AJ53*$BF53</f>
        <v/>
      </c>
      <c r="AN53" s="349" t="n"/>
      <c r="AO53" s="350">
        <f>IF($W53=$F$16,$P$61,0)</f>
        <v/>
      </c>
      <c r="AP53" s="351">
        <f>IF($W53=$F$16,$P$63,0)</f>
        <v/>
      </c>
      <c r="AQ53" s="351">
        <f>IF($W53=$F$16,$P$62,0)</f>
        <v/>
      </c>
      <c r="AR53" s="345">
        <f>IF($W53&lt;$O$16,IF(W53=$F$16,$U$92,$U$93),0)</f>
        <v/>
      </c>
      <c r="AS53" s="346">
        <f>SUM(AO53:AP53,AR53)</f>
        <v/>
      </c>
      <c r="AT53" s="345">
        <f>IF(W53=$F$16,$P$30,0)</f>
        <v/>
      </c>
      <c r="AU53" s="345">
        <f>IFERROR(-PPMT($P$36,W53-$F$16,$F$17,SUM(P$31,P$51)),0)</f>
        <v/>
      </c>
      <c r="AV53" s="345">
        <f>IFERROR(-IPMT($P$36,W53-$F$16,$F$17,SUM($P$31,$P$51)),0)</f>
        <v/>
      </c>
      <c r="AW53" s="345">
        <f>IF(AND(W53&gt;$F$16,W53&lt;=SUM($F$16:$F$17)),$P$43,0)</f>
        <v/>
      </c>
      <c r="AX53" s="345">
        <f>IF($W53=1,$F$44,0)+IF(AND($W53&gt;0,$W53&lt;=$O$16),$F$45,0)</f>
        <v/>
      </c>
      <c r="AY53" s="345">
        <f>IF(AND(W53&gt;$F$16,W53&lt;=SUM($F$16:$F$17)),$P$54,0)</f>
        <v/>
      </c>
      <c r="AZ53" s="345">
        <f>IF(AND(SUM($AQ$16:AQ52)&gt;0,SUM($AZ$16:AZ52)&lt;$P$62,$W53&gt;=$P$65),$P$64,0)</f>
        <v/>
      </c>
      <c r="BA53" s="345">
        <f>IF(SUM($AQ$17:$AQ52)&gt;0,($P$62-SUM($AZ$17:$AZ52))*$F$65,0)</f>
        <v/>
      </c>
      <c r="BB53" s="346">
        <f>SUM(AT53:AY53)</f>
        <v/>
      </c>
      <c r="BC53" s="351">
        <f>AS53-BB53</f>
        <v/>
      </c>
      <c r="BD53" s="352">
        <f>BC53*$BF53</f>
        <v/>
      </c>
      <c r="BE53" s="337" t="n"/>
      <c r="BF53" s="47">
        <f>BF52/(1+$O$22)</f>
        <v/>
      </c>
      <c r="BH53" s="350">
        <f>AT53</f>
        <v/>
      </c>
      <c r="BI53" s="350">
        <f>AU53</f>
        <v/>
      </c>
      <c r="BJ53" s="351">
        <f>AV53</f>
        <v/>
      </c>
      <c r="BK53" s="351">
        <f>AW53</f>
        <v/>
      </c>
      <c r="BL53" s="351">
        <f>AY53</f>
        <v/>
      </c>
      <c r="BM53" s="345">
        <f>IF($W53&gt;$F$16,$F$56,0)</f>
        <v/>
      </c>
      <c r="BN53" s="346">
        <f>SUM(BH53:BM53)</f>
        <v/>
      </c>
      <c r="BO53" s="351">
        <f>IF($W53=$F$16,$P$32,0)</f>
        <v/>
      </c>
      <c r="BP53" s="351">
        <f>IF(AND(W53&gt;$F$16,W53&lt;=SUM($F$16:$F$17)),$P$41,0)</f>
        <v/>
      </c>
      <c r="BQ53" s="351">
        <f>IFERROR(-IPMT($P$67,W53-$F$16,$F$17,SUM(P$31,P$51)),0)</f>
        <v/>
      </c>
      <c r="BR53" s="351">
        <f>IF($W53&lt;=$O$16,$F$105,0)</f>
        <v/>
      </c>
      <c r="BS53" s="353">
        <f>IF($W53=1,SUM($O$103,$O$105),0)</f>
        <v/>
      </c>
      <c r="BT53" s="351">
        <f>IF($W53&lt;$O$16,IF(W53=$F$16,$P$93,$P$94),0)</f>
        <v/>
      </c>
      <c r="BU53" s="346">
        <f>SUM(BO53:BP53,BR53:BT53)</f>
        <v/>
      </c>
      <c r="BV53" s="346">
        <f>BN53-BU53</f>
        <v/>
      </c>
      <c r="BW53" s="342" t="n"/>
      <c r="BX53" s="338">
        <f>IFERROR(-PPMT($P$67,$W53-$F$16,$F$17,SUM(P$31,P$51)),0)</f>
        <v/>
      </c>
      <c r="BY53" s="356">
        <f>IF(BV53-BX53&gt;=0,0,1)</f>
        <v/>
      </c>
    </row>
    <row r="54" ht="15.75" customHeight="1" s="302" thickBot="1">
      <c r="A54" s="4" t="inlineStr">
        <is>
          <t>３．事業にかかる収入</t>
        </is>
      </c>
      <c r="K54" s="124" t="inlineStr">
        <is>
          <t>サービス購入費（SPC費用等）年額　*サービス購入費に含める場合</t>
        </is>
      </c>
      <c r="L54" s="125" t="n"/>
      <c r="M54" s="125" t="n"/>
      <c r="N54" s="126" t="inlineStr">
        <is>
          <t>百万円</t>
        </is>
      </c>
      <c r="O54" s="370" t="n"/>
      <c r="P54" s="371">
        <f>SUM(P52:P53)*$F$47</f>
        <v/>
      </c>
      <c r="Q54" s="0" t="inlineStr">
        <is>
          <t>別途サービス購入費として支払</t>
        </is>
      </c>
      <c r="V54" s="58">
        <f>IF(W54=1,DATE(YEAR($F$18)+(MONTH($F$18)&gt;=4),4,0),EOMONTH(V53,12))</f>
        <v/>
      </c>
      <c r="W54" s="26" t="n">
        <v>38</v>
      </c>
      <c r="X54" s="282">
        <f>IF(W54&gt;$O$16,"-",IF($W54&lt;=$F$16,"整備期間","維持管理・運営期間"))</f>
        <v/>
      </c>
      <c r="Y54" s="344">
        <f>IF($W54=$F$16,$O$61,0)</f>
        <v/>
      </c>
      <c r="Z54" s="345">
        <f>IF($W54=$F$16,$O$63,0)</f>
        <v/>
      </c>
      <c r="AA54" s="345">
        <f>IF($W54=$F$16,$O$62,0)</f>
        <v/>
      </c>
      <c r="AB54" s="345">
        <f>IF(X54="維持管理・運営期間",$F$56,0)</f>
        <v/>
      </c>
      <c r="AC54" s="346">
        <f>SUM(Y54:Z54,AB54)</f>
        <v/>
      </c>
      <c r="AD54" s="344">
        <f>IF($W54=$F$16,$O$30,0)</f>
        <v/>
      </c>
      <c r="AE54" s="345">
        <f>IF($X54="維持管理・運営期間",$O$41,0)</f>
        <v/>
      </c>
      <c r="AF54" s="345">
        <f>IF(AND($W54&gt;0,$W54&lt;=$O$16),$E$45,0)</f>
        <v/>
      </c>
      <c r="AG54" s="345">
        <f>IF(AND(SUM($AA$16:AA53)&gt;0,SUM($AG$16:AG53)&lt;$O$62,$W54&gt;=$O$65),$O$64,0)</f>
        <v/>
      </c>
      <c r="AH54" s="351">
        <f>IF(SUM($AA$17:$AA53)&gt;0,($O$62-SUM($AG$17:$AG53))*$F$65,0)</f>
        <v/>
      </c>
      <c r="AI54" s="346">
        <f>SUM(AD54:AF54)</f>
        <v/>
      </c>
      <c r="AJ54" s="351">
        <f>AC54-AI54</f>
        <v/>
      </c>
      <c r="AK54" s="338">
        <f>(SUM($P$31,$P$51)-SUM($AU$17:AU53))*$O$109</f>
        <v/>
      </c>
      <c r="AL54" s="348" t="n"/>
      <c r="AM54" s="352">
        <f>AJ54*$BF54</f>
        <v/>
      </c>
      <c r="AN54" s="349" t="n"/>
      <c r="AO54" s="350">
        <f>IF($W54=$F$16,$P$61,0)</f>
        <v/>
      </c>
      <c r="AP54" s="351">
        <f>IF($W54=$F$16,$P$63,0)</f>
        <v/>
      </c>
      <c r="AQ54" s="351">
        <f>IF($W54=$F$16,$P$62,0)</f>
        <v/>
      </c>
      <c r="AR54" s="345">
        <f>IF($W54&lt;$O$16,IF(W54=$F$16,$U$92,$U$93),0)</f>
        <v/>
      </c>
      <c r="AS54" s="346">
        <f>SUM(AO54:AP54,AR54)</f>
        <v/>
      </c>
      <c r="AT54" s="345">
        <f>IF(W54=$F$16,$P$30,0)</f>
        <v/>
      </c>
      <c r="AU54" s="345">
        <f>IFERROR(-PPMT($P$36,W54-$F$16,$F$17,SUM(P$31,P$51)),0)</f>
        <v/>
      </c>
      <c r="AV54" s="345">
        <f>IFERROR(-IPMT($P$36,W54-$F$16,$F$17,SUM($P$31,$P$51)),0)</f>
        <v/>
      </c>
      <c r="AW54" s="345">
        <f>IF(AND(W54&gt;$F$16,W54&lt;=SUM($F$16:$F$17)),$P$43,0)</f>
        <v/>
      </c>
      <c r="AX54" s="345">
        <f>IF($W54=1,$F$44,0)+IF(AND($W54&gt;0,$W54&lt;=$O$16),$F$45,0)</f>
        <v/>
      </c>
      <c r="AY54" s="345">
        <f>IF(AND(W54&gt;$F$16,W54&lt;=SUM($F$16:$F$17)),$P$54,0)</f>
        <v/>
      </c>
      <c r="AZ54" s="345">
        <f>IF(AND(SUM($AQ$16:AQ53)&gt;0,SUM($AZ$16:AZ53)&lt;$P$62,$W54&gt;=$P$65),$P$64,0)</f>
        <v/>
      </c>
      <c r="BA54" s="345">
        <f>IF(SUM($AQ$17:$AQ53)&gt;0,($P$62-SUM($AZ$17:$AZ53))*$F$65,0)</f>
        <v/>
      </c>
      <c r="BB54" s="346">
        <f>SUM(AT54:AY54)</f>
        <v/>
      </c>
      <c r="BC54" s="351">
        <f>AS54-BB54</f>
        <v/>
      </c>
      <c r="BD54" s="352">
        <f>BC54*$BF54</f>
        <v/>
      </c>
      <c r="BE54" s="337" t="n"/>
      <c r="BF54" s="47">
        <f>BF53/(1+$O$22)</f>
        <v/>
      </c>
      <c r="BH54" s="350">
        <f>AT54</f>
        <v/>
      </c>
      <c r="BI54" s="350">
        <f>AU54</f>
        <v/>
      </c>
      <c r="BJ54" s="351">
        <f>AV54</f>
        <v/>
      </c>
      <c r="BK54" s="351">
        <f>AW54</f>
        <v/>
      </c>
      <c r="BL54" s="351">
        <f>AY54</f>
        <v/>
      </c>
      <c r="BM54" s="345">
        <f>IF($W54&gt;$F$16,$F$56,0)</f>
        <v/>
      </c>
      <c r="BN54" s="346">
        <f>SUM(BH54:BM54)</f>
        <v/>
      </c>
      <c r="BO54" s="351">
        <f>IF($W54=$F$16,$P$32,0)</f>
        <v/>
      </c>
      <c r="BP54" s="351">
        <f>IF(AND(W54&gt;$F$16,W54&lt;=SUM($F$16:$F$17)),$P$41,0)</f>
        <v/>
      </c>
      <c r="BQ54" s="351">
        <f>IFERROR(-IPMT($P$67,W54-$F$16,$F$17,SUM(P$31,P$51)),0)</f>
        <v/>
      </c>
      <c r="BR54" s="351">
        <f>IF($W54&lt;=$O$16,$F$105,0)</f>
        <v/>
      </c>
      <c r="BS54" s="353">
        <f>IF($W54=1,SUM($O$103,$O$105),0)</f>
        <v/>
      </c>
      <c r="BT54" s="351">
        <f>IF($W54&lt;$O$16,IF(W54=$F$16,$P$93,$P$94),0)</f>
        <v/>
      </c>
      <c r="BU54" s="346">
        <f>SUM(BO54:BP54,BR54:BT54)</f>
        <v/>
      </c>
      <c r="BV54" s="346">
        <f>BN54-BU54</f>
        <v/>
      </c>
      <c r="BW54" s="342" t="n"/>
      <c r="BX54" s="338">
        <f>IFERROR(-PPMT($P$67,$W54-$F$16,$F$17,SUM(P$31,P$51)),0)</f>
        <v/>
      </c>
      <c r="BY54" s="356">
        <f>IF(BV54-BX54&gt;=0,0,1)</f>
        <v/>
      </c>
    </row>
    <row r="55" ht="15.75" customHeight="1" s="302">
      <c r="V55" s="58">
        <f>IF(W55=1,DATE(YEAR($F$18)+(MONTH($F$18)&gt;=4),4,0),EOMONTH(V54,12))</f>
        <v/>
      </c>
      <c r="W55" s="26" t="n">
        <v>39</v>
      </c>
      <c r="X55" s="282">
        <f>IF(W55&gt;$O$16,"-",IF($W55&lt;=$F$16,"整備期間","維持管理・運営期間"))</f>
        <v/>
      </c>
      <c r="Y55" s="344">
        <f>IF($W55=$F$16,$O$61,0)</f>
        <v/>
      </c>
      <c r="Z55" s="345">
        <f>IF($W55=$F$16,$O$63,0)</f>
        <v/>
      </c>
      <c r="AA55" s="345">
        <f>IF($W55=$F$16,$O$62,0)</f>
        <v/>
      </c>
      <c r="AB55" s="345">
        <f>IF(X55="維持管理・運営期間",$F$56,0)</f>
        <v/>
      </c>
      <c r="AC55" s="346">
        <f>SUM(Y55:Z55,AB55)</f>
        <v/>
      </c>
      <c r="AD55" s="344">
        <f>IF($W55=$F$16,$O$30,0)</f>
        <v/>
      </c>
      <c r="AE55" s="345">
        <f>IF($X55="維持管理・運営期間",$O$41,0)</f>
        <v/>
      </c>
      <c r="AF55" s="345">
        <f>IF(AND($W55&gt;0,$W55&lt;=$O$16),$E$45,0)</f>
        <v/>
      </c>
      <c r="AG55" s="345">
        <f>IF(AND(SUM($AA$16:AA54)&gt;0,SUM($AG$16:AG54)&lt;$O$62,$W55&gt;=$O$65),$O$64,0)</f>
        <v/>
      </c>
      <c r="AH55" s="351">
        <f>IF(SUM($AA$17:$AA54)&gt;0,($O$62-SUM($AG$17:$AG54))*$F$65,0)</f>
        <v/>
      </c>
      <c r="AI55" s="346">
        <f>SUM(AD55:AF55)</f>
        <v/>
      </c>
      <c r="AJ55" s="351">
        <f>AC55-AI55</f>
        <v/>
      </c>
      <c r="AK55" s="338">
        <f>(SUM($P$31,$P$51)-SUM($AU$17:AU54))*$O$109</f>
        <v/>
      </c>
      <c r="AL55" s="348" t="n"/>
      <c r="AM55" s="352">
        <f>AJ55*$BF55</f>
        <v/>
      </c>
      <c r="AN55" s="349" t="n"/>
      <c r="AO55" s="350">
        <f>IF($W55=$F$16,$P$61,0)</f>
        <v/>
      </c>
      <c r="AP55" s="351">
        <f>IF($W55=$F$16,$P$63,0)</f>
        <v/>
      </c>
      <c r="AQ55" s="351">
        <f>IF($W55=$F$16,$P$62,0)</f>
        <v/>
      </c>
      <c r="AR55" s="345">
        <f>IF($W55&lt;$O$16,IF(W55=$F$16,$U$92,$U$93),0)</f>
        <v/>
      </c>
      <c r="AS55" s="346">
        <f>SUM(AO55:AP55,AR55)</f>
        <v/>
      </c>
      <c r="AT55" s="345">
        <f>IF(W55=$F$16,$P$30,0)</f>
        <v/>
      </c>
      <c r="AU55" s="345">
        <f>IFERROR(-PPMT($P$36,W55-$F$16,$F$17,SUM(P$31,P$51)),0)</f>
        <v/>
      </c>
      <c r="AV55" s="345">
        <f>IFERROR(-IPMT($P$36,W55-$F$16,$F$17,SUM($P$31,$P$51)),0)</f>
        <v/>
      </c>
      <c r="AW55" s="345">
        <f>IF(AND(W55&gt;$F$16,W55&lt;=SUM($F$16:$F$17)),$P$43,0)</f>
        <v/>
      </c>
      <c r="AX55" s="345">
        <f>IF($W55=1,$F$44,0)+IF(AND($W55&gt;0,$W55&lt;=$O$16),$F$45,0)</f>
        <v/>
      </c>
      <c r="AY55" s="345">
        <f>IF(AND(W55&gt;$F$16,W55&lt;=SUM($F$16:$F$17)),$P$54,0)</f>
        <v/>
      </c>
      <c r="AZ55" s="345">
        <f>IF(AND(SUM($AQ$16:AQ54)&gt;0,SUM($AZ$16:AZ54)&lt;$P$62,$W55&gt;=$P$65),$P$64,0)</f>
        <v/>
      </c>
      <c r="BA55" s="345">
        <f>IF(SUM($AQ$17:$AQ54)&gt;0,($P$62-SUM($AZ$17:$AZ54))*$F$65,0)</f>
        <v/>
      </c>
      <c r="BB55" s="346">
        <f>SUM(AT55:AY55)</f>
        <v/>
      </c>
      <c r="BC55" s="351">
        <f>AS55-BB55</f>
        <v/>
      </c>
      <c r="BD55" s="352">
        <f>BC55*$BF55</f>
        <v/>
      </c>
      <c r="BE55" s="337" t="n"/>
      <c r="BF55" s="47">
        <f>BF54/(1+$O$22)</f>
        <v/>
      </c>
      <c r="BH55" s="350">
        <f>AT55</f>
        <v/>
      </c>
      <c r="BI55" s="350">
        <f>AU55</f>
        <v/>
      </c>
      <c r="BJ55" s="351">
        <f>AV55</f>
        <v/>
      </c>
      <c r="BK55" s="351">
        <f>AW55</f>
        <v/>
      </c>
      <c r="BL55" s="351">
        <f>AY55</f>
        <v/>
      </c>
      <c r="BM55" s="345">
        <f>IF($W55&gt;$F$16,$F$56,0)</f>
        <v/>
      </c>
      <c r="BN55" s="346">
        <f>SUM(BH55:BM55)</f>
        <v/>
      </c>
      <c r="BO55" s="351">
        <f>IF($W55=$F$16,$P$32,0)</f>
        <v/>
      </c>
      <c r="BP55" s="351">
        <f>IF(AND(W55&gt;$F$16,W55&lt;=SUM($F$16:$F$17)),$P$41,0)</f>
        <v/>
      </c>
      <c r="BQ55" s="351">
        <f>IFERROR(-IPMT($P$67,W55-$F$16,$F$17,SUM(P$31,P$51)),0)</f>
        <v/>
      </c>
      <c r="BR55" s="351">
        <f>IF($W55&lt;=$O$16,$F$105,0)</f>
        <v/>
      </c>
      <c r="BS55" s="353">
        <f>IF($W55=1,SUM($O$103,$O$105),0)</f>
        <v/>
      </c>
      <c r="BT55" s="351">
        <f>IF($W55&lt;$O$16,IF(W55=$F$16,$P$93,$P$94),0)</f>
        <v/>
      </c>
      <c r="BU55" s="346">
        <f>SUM(BO55:BP55,BR55:BT55)</f>
        <v/>
      </c>
      <c r="BV55" s="346">
        <f>BN55-BU55</f>
        <v/>
      </c>
      <c r="BW55" s="342" t="n"/>
      <c r="BX55" s="338">
        <f>IFERROR(-PPMT($P$67,$W55-$F$16,$F$17,SUM(P$31,P$51)),0)</f>
        <v/>
      </c>
      <c r="BY55" s="356">
        <f>IF(BV55-BX55&gt;=0,0,1)</f>
        <v/>
      </c>
    </row>
    <row r="56" ht="15.75" customHeight="1" s="302">
      <c r="C56" s="56" t="inlineStr">
        <is>
          <t>利用料金収入（百万円、年額）</t>
        </is>
      </c>
      <c r="D56" s="0" t="inlineStr">
        <is>
          <t>百万円</t>
        </is>
      </c>
      <c r="F56" s="333" t="n">
        <v>0</v>
      </c>
      <c r="V56" s="58">
        <f>IF(W56=1,DATE(YEAR($F$18)+(MONTH($F$18)&gt;=4),4,0),EOMONTH(V55,12))</f>
        <v/>
      </c>
      <c r="W56" s="26" t="n">
        <v>40</v>
      </c>
      <c r="X56" s="282">
        <f>IF(W56&gt;$O$16,"-",IF($W56&lt;=$F$16,"整備期間","維持管理・運営期間"))</f>
        <v/>
      </c>
      <c r="Y56" s="344">
        <f>IF($W56=$F$16,$O$61,0)</f>
        <v/>
      </c>
      <c r="Z56" s="345">
        <f>IF($W56=$F$16,$O$63,0)</f>
        <v/>
      </c>
      <c r="AA56" s="345">
        <f>IF($W56=$F$16,$O$62,0)</f>
        <v/>
      </c>
      <c r="AB56" s="345">
        <f>IF(X56="維持管理・運営期間",$F$56,0)</f>
        <v/>
      </c>
      <c r="AC56" s="346">
        <f>SUM(Y56:Z56,AB56)</f>
        <v/>
      </c>
      <c r="AD56" s="344">
        <f>IF($W56=$F$16,$O$30,0)</f>
        <v/>
      </c>
      <c r="AE56" s="345">
        <f>IF($X56="維持管理・運営期間",$O$41,0)</f>
        <v/>
      </c>
      <c r="AF56" s="345">
        <f>IF(AND($W56&gt;0,$W56&lt;=$O$16),$E$45,0)</f>
        <v/>
      </c>
      <c r="AG56" s="345">
        <f>IF(AND(SUM($AA$16:AA55)&gt;0,SUM($AG$16:AG55)&lt;$O$62,$W56&gt;=$O$65),$O$64,0)</f>
        <v/>
      </c>
      <c r="AH56" s="351">
        <f>IF(SUM($AA$17:$AA55)&gt;0,($O$62-SUM($AG$17:$AG55))*$F$65,0)</f>
        <v/>
      </c>
      <c r="AI56" s="346">
        <f>SUM(AD56:AF56)</f>
        <v/>
      </c>
      <c r="AJ56" s="351">
        <f>AC56-AI56</f>
        <v/>
      </c>
      <c r="AK56" s="338">
        <f>(SUM($P$31,$P$51)-SUM($AU$17:AU55))*$O$109</f>
        <v/>
      </c>
      <c r="AL56" s="348" t="n"/>
      <c r="AM56" s="352">
        <f>AJ56*$BF56</f>
        <v/>
      </c>
      <c r="AN56" s="349" t="n"/>
      <c r="AO56" s="350">
        <f>IF($W56=$F$16,$P$61,0)</f>
        <v/>
      </c>
      <c r="AP56" s="351">
        <f>IF($W56=$F$16,$P$63,0)</f>
        <v/>
      </c>
      <c r="AQ56" s="351">
        <f>IF($W56=$F$16,$P$62,0)</f>
        <v/>
      </c>
      <c r="AR56" s="345">
        <f>IF($W56&lt;$O$16,IF(W56=$F$16,$U$92,$U$93),0)</f>
        <v/>
      </c>
      <c r="AS56" s="346">
        <f>SUM(AO56:AP56,AR56)</f>
        <v/>
      </c>
      <c r="AT56" s="345">
        <f>IF(W56=$F$16,$P$30,0)</f>
        <v/>
      </c>
      <c r="AU56" s="345">
        <f>IFERROR(-PPMT($P$36,W56-$F$16,$F$17,SUM(P$31,P$51)),0)</f>
        <v/>
      </c>
      <c r="AV56" s="345">
        <f>IFERROR(-IPMT($P$36,W56-$F$16,$F$17,SUM($P$31,$P$51)),0)</f>
        <v/>
      </c>
      <c r="AW56" s="345">
        <f>IF(AND(W56&gt;$F$16,W56&lt;=SUM($F$16:$F$17)),$P$43,0)</f>
        <v/>
      </c>
      <c r="AX56" s="345">
        <f>IF($W56=1,$F$44,0)+IF(AND($W56&gt;0,$W56&lt;=$O$16),$F$45,0)</f>
        <v/>
      </c>
      <c r="AY56" s="345">
        <f>IF(AND(W56&gt;$F$16,W56&lt;=SUM($F$16:$F$17)),$P$54,0)</f>
        <v/>
      </c>
      <c r="AZ56" s="345">
        <f>IF(AND(SUM($AQ$16:AQ55)&gt;0,SUM($AZ$16:AZ55)&lt;$P$62,$W56&gt;=$P$65),$P$64,0)</f>
        <v/>
      </c>
      <c r="BA56" s="345">
        <f>IF(SUM($AQ$17:$AQ55)&gt;0,($P$62-SUM($AZ$17:$AZ55))*$F$65,0)</f>
        <v/>
      </c>
      <c r="BB56" s="346">
        <f>SUM(AT56:AY56)</f>
        <v/>
      </c>
      <c r="BC56" s="351">
        <f>AS56-BB56</f>
        <v/>
      </c>
      <c r="BD56" s="352">
        <f>BC56*$BF56</f>
        <v/>
      </c>
      <c r="BE56" s="337" t="n"/>
      <c r="BF56" s="47">
        <f>BF55/(1+$O$22)</f>
        <v/>
      </c>
      <c r="BH56" s="350">
        <f>AT56</f>
        <v/>
      </c>
      <c r="BI56" s="350">
        <f>AU56</f>
        <v/>
      </c>
      <c r="BJ56" s="351">
        <f>AV56</f>
        <v/>
      </c>
      <c r="BK56" s="351">
        <f>AW56</f>
        <v/>
      </c>
      <c r="BL56" s="351">
        <f>AY56</f>
        <v/>
      </c>
      <c r="BM56" s="345">
        <f>IF($W56&gt;$F$16,$F$56,0)</f>
        <v/>
      </c>
      <c r="BN56" s="346">
        <f>SUM(BH56:BM56)</f>
        <v/>
      </c>
      <c r="BO56" s="351">
        <f>IF($W56=$F$16,$P$32,0)</f>
        <v/>
      </c>
      <c r="BP56" s="351">
        <f>IF(AND(W56&gt;$F$16,W56&lt;=SUM($F$16:$F$17)),$P$41,0)</f>
        <v/>
      </c>
      <c r="BQ56" s="351">
        <f>IFERROR(-IPMT($P$67,W56-$F$16,$F$17,SUM(P$31,P$51)),0)</f>
        <v/>
      </c>
      <c r="BR56" s="351">
        <f>IF($W56&lt;=$O$16,$F$105,0)</f>
        <v/>
      </c>
      <c r="BS56" s="353">
        <f>IF($W56=1,SUM($O$103,$O$105),0)</f>
        <v/>
      </c>
      <c r="BT56" s="351">
        <f>IF($W56&lt;$O$16,IF(W56=$F$16,$P$93,$P$94),0)</f>
        <v/>
      </c>
      <c r="BU56" s="346">
        <f>SUM(BO56:BP56,BR56:BT56)</f>
        <v/>
      </c>
      <c r="BV56" s="346">
        <f>BN56-BU56</f>
        <v/>
      </c>
      <c r="BW56" s="342" t="n"/>
      <c r="BX56" s="338">
        <f>IFERROR(-PPMT($P$67,$W56-$F$16,$F$17,SUM(P$31,P$51)),0)</f>
        <v/>
      </c>
      <c r="BY56" s="356">
        <f>IF(BV56-BX56&gt;=0,0,1)</f>
        <v/>
      </c>
    </row>
    <row r="57" ht="15.75" customHeight="1" s="302" thickBot="1">
      <c r="Y57" s="374" t="n"/>
      <c r="Z57" s="374" t="n"/>
      <c r="AA57" s="342" t="n"/>
      <c r="AB57" s="342" t="n"/>
      <c r="AC57" s="342" t="n"/>
      <c r="AD57" s="342" t="n"/>
      <c r="AE57" s="342" t="n"/>
      <c r="AF57" s="342" t="n"/>
      <c r="AG57" s="342" t="n"/>
      <c r="AH57" s="342" t="n"/>
      <c r="AI57" s="342" t="n"/>
      <c r="AJ57" s="342" t="n"/>
      <c r="AK57" s="337" t="n"/>
      <c r="AL57" s="337" t="n"/>
      <c r="AM57" s="337" t="n"/>
      <c r="AN57" s="337" t="n"/>
      <c r="AO57" s="337" t="n"/>
      <c r="AP57" s="342" t="n"/>
      <c r="AQ57" s="342" t="n"/>
      <c r="AR57" s="342" t="n"/>
      <c r="AS57" s="342" t="n"/>
      <c r="AT57" s="342" t="n"/>
      <c r="AU57" s="342" t="n"/>
      <c r="AV57" s="342" t="n"/>
      <c r="AW57" s="342" t="n"/>
      <c r="AX57" s="342" t="n"/>
      <c r="AY57" s="342" t="n"/>
      <c r="AZ57" s="342" t="n"/>
      <c r="BA57" s="342" t="n"/>
      <c r="BB57" s="342" t="n"/>
      <c r="BC57" s="342" t="n"/>
      <c r="BD57" s="342" t="n"/>
      <c r="BE57" s="342" t="n"/>
      <c r="BH57" s="342" t="n"/>
      <c r="BI57" s="342" t="n"/>
      <c r="BJ57" s="342" t="n"/>
      <c r="BK57" s="342" t="n"/>
      <c r="BL57" s="342" t="n"/>
      <c r="BM57" s="342" t="n"/>
      <c r="BN57" s="342" t="n"/>
      <c r="BO57" s="342" t="n"/>
      <c r="BP57" s="342" t="n"/>
      <c r="BQ57" s="342" t="n"/>
      <c r="BR57" s="342" t="n"/>
      <c r="BS57" s="342" t="n"/>
      <c r="BT57" s="342" t="n"/>
      <c r="BU57" s="342" t="n"/>
      <c r="BV57" s="342" t="n"/>
      <c r="BW57" s="342" t="n"/>
      <c r="BX57" s="342" t="n"/>
    </row>
    <row r="58" ht="15.75" customHeight="1" s="302" thickTop="1">
      <c r="A58" s="4" t="inlineStr">
        <is>
          <t>４．事業にかかる資金調達</t>
        </is>
      </c>
      <c r="E58" s="0" t="inlineStr">
        <is>
          <t>PSC</t>
        </is>
      </c>
      <c r="F58" s="0" t="inlineStr">
        <is>
          <t>PFI-LCC</t>
        </is>
      </c>
      <c r="J58" s="4" t="inlineStr">
        <is>
          <t>４．事業にかかる資金調達</t>
        </is>
      </c>
      <c r="X58" s="145" t="inlineStr">
        <is>
          <t>合計</t>
        </is>
      </c>
      <c r="Y58" s="375">
        <f>SUM(Y16:Y56)</f>
        <v/>
      </c>
      <c r="Z58" s="375">
        <f>SUM(Z16:Z56)</f>
        <v/>
      </c>
      <c r="AA58" s="375">
        <f>SUM(AA16:AA56)</f>
        <v/>
      </c>
      <c r="AB58" s="375">
        <f>SUM(AB16:AB56)</f>
        <v/>
      </c>
      <c r="AC58" s="375">
        <f>SUM(AC16:AC56)</f>
        <v/>
      </c>
      <c r="AD58" s="375">
        <f>SUM(AD16:AD56)</f>
        <v/>
      </c>
      <c r="AE58" s="375">
        <f>SUM(AE16:AE56)</f>
        <v/>
      </c>
      <c r="AF58" s="375">
        <f>SUM(AF16:AF56)</f>
        <v/>
      </c>
      <c r="AG58" s="375">
        <f>SUM(AG16:AG56)</f>
        <v/>
      </c>
      <c r="AH58" s="375">
        <f>SUM(AH16:AH56)</f>
        <v/>
      </c>
      <c r="AI58" s="375">
        <f>SUM(AI16:AI56)</f>
        <v/>
      </c>
      <c r="AJ58" s="376">
        <f>SUM(AJ16:AJ56)</f>
        <v/>
      </c>
      <c r="AK58" s="376">
        <f>SUM(AK16:AK56)</f>
        <v/>
      </c>
      <c r="AL58" s="375">
        <f>SUM(AJ58,AL16)</f>
        <v/>
      </c>
      <c r="AM58" s="376">
        <f>SUM(AM16:AM56)</f>
        <v/>
      </c>
      <c r="AN58" s="337" t="n"/>
      <c r="AO58" s="375">
        <f>SUM(AO16:AO56)</f>
        <v/>
      </c>
      <c r="AP58" s="375">
        <f>SUM(AP16:AP56)</f>
        <v/>
      </c>
      <c r="AQ58" s="375">
        <f>SUM(AQ16:AQ56)</f>
        <v/>
      </c>
      <c r="AR58" s="375">
        <f>SUM(AR16:AR56)</f>
        <v/>
      </c>
      <c r="AS58" s="375">
        <f>SUM(AS16:AS56)</f>
        <v/>
      </c>
      <c r="AT58" s="375">
        <f>SUM(AT16:AT56)</f>
        <v/>
      </c>
      <c r="AU58" s="375">
        <f>SUM(AU16:AU56)</f>
        <v/>
      </c>
      <c r="AV58" s="375">
        <f>SUM(AV16:AV56)</f>
        <v/>
      </c>
      <c r="AW58" s="375">
        <f>SUM(AW16:AW56)</f>
        <v/>
      </c>
      <c r="AX58" s="375">
        <f>SUM(AX16:AX56)</f>
        <v/>
      </c>
      <c r="AY58" s="375">
        <f>SUM(AY16:AY56)</f>
        <v/>
      </c>
      <c r="AZ58" s="375">
        <f>SUM(AZ16:AZ56)</f>
        <v/>
      </c>
      <c r="BA58" s="375">
        <f>SUM(BA16:BA56)</f>
        <v/>
      </c>
      <c r="BB58" s="375">
        <f>SUM(BB16:BB56)</f>
        <v/>
      </c>
      <c r="BC58" s="376">
        <f>SUM(BC16:BC56)</f>
        <v/>
      </c>
      <c r="BD58" s="376">
        <f>SUM(BD16:BD56)</f>
        <v/>
      </c>
      <c r="BH58" s="375">
        <f>SUM(BH16:BH56)</f>
        <v/>
      </c>
      <c r="BI58" s="375">
        <f>SUM(BI16:BI56)</f>
        <v/>
      </c>
      <c r="BJ58" s="375">
        <f>SUM(BJ16:BJ56)</f>
        <v/>
      </c>
      <c r="BK58" s="375">
        <f>SUM(BK16:BK56)</f>
        <v/>
      </c>
      <c r="BL58" s="375">
        <f>SUM(BL16:BL56)</f>
        <v/>
      </c>
      <c r="BM58" s="375">
        <f>SUM(BM16:BM56)</f>
        <v/>
      </c>
      <c r="BN58" s="375">
        <f>SUM(BN16:BN56)</f>
        <v/>
      </c>
      <c r="BO58" s="375">
        <f>SUM(BO16:BO56)</f>
        <v/>
      </c>
      <c r="BP58" s="375">
        <f>SUM(BP16:BP56)</f>
        <v/>
      </c>
      <c r="BQ58" s="375">
        <f>SUM(BQ16:BQ56)</f>
        <v/>
      </c>
      <c r="BR58" s="375">
        <f>SUM(BR16:BR56)</f>
        <v/>
      </c>
      <c r="BS58" s="375">
        <f>SUM(BS16:BS56)</f>
        <v/>
      </c>
      <c r="BT58" s="375">
        <f>SUM(BT16:BT56)</f>
        <v/>
      </c>
      <c r="BU58" s="375">
        <f>SUM(BU16:BU56)</f>
        <v/>
      </c>
      <c r="BV58" s="375">
        <f>SUM(BV16:BV56)</f>
        <v/>
      </c>
      <c r="BW58" s="337" t="n"/>
      <c r="BX58" s="377">
        <f>SUM(BX16:BX56)</f>
        <v/>
      </c>
    </row>
    <row r="59" ht="15.75" customHeight="1" s="302">
      <c r="B59" s="0" t="inlineStr">
        <is>
          <t>4.1公共側</t>
        </is>
      </c>
      <c r="C59" s="0" t="inlineStr">
        <is>
          <t>調達必要額</t>
        </is>
      </c>
      <c r="D59" s="0" t="inlineStr">
        <is>
          <t>百万円</t>
        </is>
      </c>
      <c r="E59" s="364">
        <f>O62</f>
        <v/>
      </c>
      <c r="F59" s="364">
        <f>P62</f>
        <v/>
      </c>
      <c r="J59" s="4" t="inlineStr">
        <is>
          <t>4.1公共側</t>
        </is>
      </c>
      <c r="O59" s="0" t="inlineStr">
        <is>
          <t>PSC</t>
        </is>
      </c>
      <c r="P59" s="0" t="inlineStr">
        <is>
          <t>PFI-LCC</t>
        </is>
      </c>
      <c r="AA59" s="0" t="n"/>
      <c r="AB59" s="0" t="n"/>
      <c r="AC59" s="0" t="n"/>
      <c r="AD59" s="0" t="n"/>
      <c r="AE59" s="0" t="n"/>
      <c r="AF59" s="0" t="n"/>
      <c r="AG59" s="0" t="n"/>
      <c r="AH59" s="0" t="n"/>
      <c r="AI59" s="0" t="n"/>
      <c r="AJ59" s="0" t="n"/>
      <c r="AK59" s="0" t="n"/>
      <c r="AL59" s="312" t="inlineStr">
        <is>
          <t>収支合計</t>
        </is>
      </c>
      <c r="AN59" s="0" t="n"/>
      <c r="AO59" s="0" t="n"/>
      <c r="AP59" s="0" t="n"/>
      <c r="AQ59" s="0" t="n"/>
      <c r="AR59" s="0" t="n"/>
      <c r="AS59" s="0" t="n"/>
      <c r="AT59" s="0" t="n"/>
      <c r="AU59" s="0" t="n"/>
      <c r="AV59" s="0" t="n"/>
      <c r="AW59" s="0" t="n"/>
      <c r="AX59" s="0" t="n"/>
      <c r="AY59" s="0" t="n"/>
      <c r="AZ59" s="0" t="n"/>
      <c r="BA59" s="0" t="n"/>
      <c r="BB59" s="0" t="n"/>
      <c r="BC59" s="0" t="n"/>
      <c r="BD59" s="0" t="n"/>
      <c r="BE59" s="0" t="n"/>
      <c r="BF59" s="0" t="n"/>
      <c r="BG59" s="0" t="n"/>
      <c r="BH59" s="0" t="n"/>
      <c r="BI59" s="0" t="n"/>
      <c r="BJ59" s="0" t="n"/>
      <c r="BK59" s="0" t="n"/>
      <c r="BL59" s="0" t="n"/>
      <c r="BM59" s="0" t="n"/>
      <c r="BN59" s="0" t="n"/>
      <c r="BO59" s="0" t="n"/>
      <c r="BP59" s="0" t="n"/>
      <c r="BQ59" s="0" t="n"/>
      <c r="BR59" s="0" t="n"/>
      <c r="BS59" s="0" t="n"/>
      <c r="BT59" s="0" t="n"/>
      <c r="BU59" s="0" t="n"/>
      <c r="BV59" s="0" t="n"/>
      <c r="BW59" s="0" t="n"/>
      <c r="BX59" s="0" t="n"/>
      <c r="BY59" s="0" t="n"/>
    </row>
    <row r="60" ht="15.75" customHeight="1" s="302">
      <c r="C60" s="0" t="inlineStr">
        <is>
          <t>補助金収入（％）</t>
        </is>
      </c>
      <c r="D60" s="0" t="inlineStr">
        <is>
          <t>％</t>
        </is>
      </c>
      <c r="E60" s="141" t="n">
        <v>0.4</v>
      </c>
      <c r="F60" s="141" t="n">
        <v>0.4</v>
      </c>
      <c r="K60" s="0" t="inlineStr">
        <is>
          <t>施設整備費用(インフレ考慮後）</t>
        </is>
      </c>
      <c r="N60" s="19" t="inlineStr">
        <is>
          <t>百万円</t>
        </is>
      </c>
      <c r="O60" s="358">
        <f>O29</f>
        <v/>
      </c>
      <c r="P60" s="358">
        <f>P29</f>
        <v/>
      </c>
      <c r="AK60" s="312" t="n"/>
      <c r="AL60" s="312" t="inlineStr">
        <is>
          <t>（リスク調整加算後）</t>
        </is>
      </c>
      <c r="AM60" s="312" t="n"/>
      <c r="AN60" s="312" t="n"/>
      <c r="AO60" s="312" t="n"/>
      <c r="BF60" s="312" t="n"/>
      <c r="BY60" s="0" t="n"/>
    </row>
    <row r="61" ht="15.75" customHeight="1" s="302">
      <c r="C61" s="0" t="inlineStr">
        <is>
          <t>起債への交付金（率）（％）</t>
        </is>
      </c>
      <c r="D61" s="0" t="inlineStr">
        <is>
          <t>％</t>
        </is>
      </c>
      <c r="E61" s="3" t="n">
        <v>0.3</v>
      </c>
      <c r="F61" s="3" t="n">
        <v>0.3</v>
      </c>
      <c r="K61" s="0" t="inlineStr">
        <is>
          <t>補助金</t>
        </is>
      </c>
      <c r="N61" s="19" t="inlineStr">
        <is>
          <t>百万円</t>
        </is>
      </c>
      <c r="O61" s="358">
        <f>O60*$E$60</f>
        <v/>
      </c>
      <c r="P61" s="358">
        <f>P60*$F$60</f>
        <v/>
      </c>
      <c r="V61" s="19" t="n"/>
    </row>
    <row r="62" ht="15.75" customHeight="1" s="302">
      <c r="C62" s="275" t="inlineStr">
        <is>
          <t>起債充当率（％）</t>
        </is>
      </c>
      <c r="D62" s="0" t="inlineStr">
        <is>
          <t>％</t>
        </is>
      </c>
      <c r="E62" s="3" t="n">
        <v>0.75</v>
      </c>
      <c r="F62" s="3" t="n">
        <v>0.75</v>
      </c>
      <c r="J62" s="4" t="n"/>
      <c r="K62" s="0" t="inlineStr">
        <is>
          <t>起債発行額（額）</t>
        </is>
      </c>
      <c r="N62" s="19" t="inlineStr">
        <is>
          <t>百万円</t>
        </is>
      </c>
      <c r="O62" s="358">
        <f>(O60-O61)*$E$62</f>
        <v/>
      </c>
      <c r="P62" s="358">
        <f>(P30-P61)*$F$62</f>
        <v/>
      </c>
      <c r="V62" s="19" t="n"/>
    </row>
    <row r="63" ht="15.75" customHeight="1" s="302">
      <c r="C63" s="0" t="inlineStr">
        <is>
          <t>据置期間</t>
        </is>
      </c>
      <c r="D63" s="0" t="inlineStr">
        <is>
          <t>年</t>
        </is>
      </c>
      <c r="E63" s="333" t="n">
        <v>3</v>
      </c>
      <c r="F63" s="333" t="n">
        <v>3</v>
      </c>
      <c r="K63" s="0" t="inlineStr">
        <is>
          <t>起債への交付金（額）</t>
        </is>
      </c>
      <c r="N63" s="19" t="inlineStr">
        <is>
          <t>百万円</t>
        </is>
      </c>
      <c r="O63" s="358">
        <f>O62*$F$61</f>
        <v/>
      </c>
      <c r="P63" s="358">
        <f>P62*$F$61</f>
        <v/>
      </c>
      <c r="V63" s="19" t="n"/>
    </row>
    <row r="64" ht="15.75" customHeight="1" s="302">
      <c r="C64" s="56" t="inlineStr">
        <is>
          <t>償還期間（年）</t>
        </is>
      </c>
      <c r="D64" s="0" t="inlineStr">
        <is>
          <t>年</t>
        </is>
      </c>
      <c r="E64" s="333" t="n">
        <v>20</v>
      </c>
      <c r="F64" s="333" t="n">
        <v>20</v>
      </c>
      <c r="K64" s="0" t="inlineStr">
        <is>
          <t>起債償還額（年額）</t>
        </is>
      </c>
      <c r="N64" s="19" t="inlineStr">
        <is>
          <t>百万円</t>
        </is>
      </c>
      <c r="O64" s="358">
        <f>O62/$F$64</f>
        <v/>
      </c>
      <c r="P64" s="358">
        <f>P62/$F$64</f>
        <v/>
      </c>
      <c r="V64" s="19" t="n"/>
    </row>
    <row r="65" ht="15.75" customHeight="1" s="302">
      <c r="C65" s="56" t="inlineStr">
        <is>
          <t>地方債利回り（％）</t>
        </is>
      </c>
      <c r="D65" s="0" t="inlineStr">
        <is>
          <t>％</t>
        </is>
      </c>
      <c r="E65" s="378" t="n">
        <v>0.015</v>
      </c>
      <c r="F65" s="378" t="n">
        <v>0.015</v>
      </c>
      <c r="K65" s="0" t="inlineStr">
        <is>
          <t>償還開始時期（第●期）</t>
        </is>
      </c>
      <c r="N65" s="19" t="inlineStr">
        <is>
          <t>期</t>
        </is>
      </c>
      <c r="O65" s="358">
        <f>$F$16+E63+1</f>
        <v/>
      </c>
      <c r="P65" s="358">
        <f>$F$16+F63+1</f>
        <v/>
      </c>
    </row>
    <row r="66" ht="15.75" customHeight="1" s="302">
      <c r="B66" s="0" t="inlineStr">
        <is>
          <t>4.2民間事業者側</t>
        </is>
      </c>
      <c r="C66" s="19" t="n"/>
      <c r="J66" s="4" t="inlineStr">
        <is>
          <t>4.2民間事業者側</t>
        </is>
      </c>
      <c r="P66" s="0" t="inlineStr">
        <is>
          <t>PFI-LCC</t>
        </is>
      </c>
    </row>
    <row r="67" ht="15.75" customHeight="1" s="302">
      <c r="E67" s="0" t="inlineStr">
        <is>
          <t>PSC</t>
        </is>
      </c>
      <c r="F67" s="0" t="inlineStr">
        <is>
          <t>PFI-LCC</t>
        </is>
      </c>
      <c r="K67" s="0" t="inlineStr">
        <is>
          <t>借入金利</t>
        </is>
      </c>
      <c r="O67" s="19" t="n"/>
      <c r="P67" s="110">
        <f>SUM(F69:F70)</f>
        <v/>
      </c>
    </row>
    <row r="68" ht="15.75" customHeight="1" s="302">
      <c r="C68" s="0" t="inlineStr">
        <is>
          <t>調達必要額</t>
        </is>
      </c>
      <c r="D68" s="0" t="inlineStr">
        <is>
          <t>百万円</t>
        </is>
      </c>
      <c r="F68" s="364">
        <f>P31</f>
        <v/>
      </c>
    </row>
    <row r="69" ht="15.75" customHeight="1" s="302">
      <c r="C69" s="0" t="inlineStr">
        <is>
          <t>基準金利</t>
        </is>
      </c>
      <c r="D69" s="0" t="inlineStr">
        <is>
          <t>％</t>
        </is>
      </c>
      <c r="F69" s="17" t="n"/>
      <c r="H69" s="72" t="inlineStr">
        <is>
          <t>民間調達なし</t>
        </is>
      </c>
    </row>
    <row r="70" ht="15.75" customHeight="1" s="302">
      <c r="C70" s="0" t="inlineStr">
        <is>
          <t>スプレッド</t>
        </is>
      </c>
      <c r="D70" s="0" t="inlineStr">
        <is>
          <t>％</t>
        </is>
      </c>
      <c r="F70" s="379" t="n"/>
      <c r="H70" s="150" t="inlineStr">
        <is>
          <t>民間調達なし</t>
        </is>
      </c>
    </row>
    <row r="71" ht="15.75" customHeight="1" s="302">
      <c r="C71" s="56" t="inlineStr">
        <is>
          <t>借入金利（％）</t>
        </is>
      </c>
      <c r="D71" s="0" t="inlineStr">
        <is>
          <t>％</t>
        </is>
      </c>
    </row>
    <row r="72" ht="15.75" customHeight="1" s="302">
      <c r="A72" s="4" t="inlineStr">
        <is>
          <t>５．事業に係る税金</t>
        </is>
      </c>
      <c r="J72" s="4" t="inlineStr">
        <is>
          <t>５．事業に係る税金</t>
        </is>
      </c>
      <c r="O72" s="19" t="n"/>
      <c r="P72" s="19" t="n"/>
      <c r="R72" s="4" t="inlineStr">
        <is>
          <t>うち、発注者に納付される税金</t>
        </is>
      </c>
      <c r="S72" s="4" t="n"/>
      <c r="T72" s="4" t="n"/>
    </row>
    <row r="73" ht="15.75" customHeight="1" s="302">
      <c r="C73" s="0" t="inlineStr">
        <is>
          <t>法人税</t>
        </is>
      </c>
      <c r="O73" s="19" t="n"/>
      <c r="P73" s="5" t="inlineStr">
        <is>
          <t>法人税</t>
        </is>
      </c>
      <c r="U73" s="4" t="inlineStr">
        <is>
          <t>（都道府県）事業税</t>
        </is>
      </c>
    </row>
    <row r="74" ht="15.75" customHeight="1" s="302">
      <c r="C74" s="2" t="inlineStr">
        <is>
          <t>法人税課税標準（SPC税引前利敵）</t>
        </is>
      </c>
      <c r="D74" s="0" t="inlineStr">
        <is>
          <t>百万円</t>
        </is>
      </c>
      <c r="F74" s="380" t="n">
        <v>0</v>
      </c>
      <c r="H74" s="72" t="inlineStr">
        <is>
          <t>SPC設立なし</t>
        </is>
      </c>
      <c r="N74" s="0" t="inlineStr">
        <is>
          <t>SPC税引前利益</t>
        </is>
      </c>
      <c r="O74" s="2" t="n"/>
      <c r="P74" s="334">
        <f>F74</f>
        <v/>
      </c>
      <c r="S74" s="0" t="inlineStr">
        <is>
          <t>課税標準</t>
        </is>
      </c>
      <c r="T74" s="19" t="inlineStr">
        <is>
          <t>百万円</t>
        </is>
      </c>
      <c r="U74" s="334">
        <f>F90</f>
        <v/>
      </c>
    </row>
    <row r="75" ht="15.75" customHeight="1" s="302">
      <c r="C75" s="2" t="inlineStr">
        <is>
          <t>法人税率</t>
        </is>
      </c>
      <c r="D75" s="0" t="inlineStr">
        <is>
          <t>％</t>
        </is>
      </c>
      <c r="F75" s="381" t="n"/>
      <c r="H75" s="0" t="inlineStr">
        <is>
          <t>実効税率</t>
        </is>
      </c>
      <c r="N75" s="0" t="inlineStr">
        <is>
          <t>税率</t>
        </is>
      </c>
      <c r="O75" s="2" t="n"/>
      <c r="P75" s="115">
        <f>F75</f>
        <v/>
      </c>
      <c r="S75" s="0" t="inlineStr">
        <is>
          <t>税率</t>
        </is>
      </c>
      <c r="T75" s="0" t="inlineStr">
        <is>
          <t>％</t>
        </is>
      </c>
      <c r="U75" s="115">
        <f>F91</f>
        <v/>
      </c>
    </row>
    <row r="76" ht="15.75" customHeight="1" s="302">
      <c r="C76" s="0" t="inlineStr">
        <is>
          <t>法人住民税均等割</t>
        </is>
      </c>
      <c r="N76" s="0" t="inlineStr">
        <is>
          <t>税額</t>
        </is>
      </c>
      <c r="O76" s="2" t="inlineStr">
        <is>
          <t>百万円</t>
        </is>
      </c>
      <c r="P76" s="116">
        <f>P74*P75</f>
        <v/>
      </c>
      <c r="S76" s="0" t="inlineStr">
        <is>
          <t>税額</t>
        </is>
      </c>
      <c r="T76" s="19" t="inlineStr">
        <is>
          <t>百万円</t>
        </is>
      </c>
      <c r="U76" s="116">
        <f>U74*U75</f>
        <v/>
      </c>
      <c r="W76" s="113" t="n"/>
    </row>
    <row r="77" ht="15.75" customHeight="1" s="302">
      <c r="C77" s="2" t="inlineStr">
        <is>
          <t>税額</t>
        </is>
      </c>
      <c r="D77" s="0" t="inlineStr">
        <is>
          <t>百万円</t>
        </is>
      </c>
      <c r="F77" s="381" t="n"/>
      <c r="H77" s="0" t="inlineStr">
        <is>
          <t>資本金1億円以下、従業員50万人以下</t>
        </is>
      </c>
      <c r="N77" s="0" t="n"/>
      <c r="O77" s="2" t="n"/>
      <c r="P77" s="104" t="inlineStr">
        <is>
          <t>法人住民税均等割</t>
        </is>
      </c>
      <c r="T77" s="19" t="n"/>
      <c r="U77" s="4" t="inlineStr">
        <is>
          <t>（都道府県）法人住民税率</t>
        </is>
      </c>
    </row>
    <row r="78" ht="15.75" customHeight="1" s="302">
      <c r="N78" s="0" t="inlineStr">
        <is>
          <t>税額</t>
        </is>
      </c>
      <c r="O78" s="2" t="inlineStr">
        <is>
          <t>百万円</t>
        </is>
      </c>
      <c r="P78" s="382">
        <f>F77</f>
        <v/>
      </c>
      <c r="S78" s="0" t="inlineStr">
        <is>
          <t>課税標準</t>
        </is>
      </c>
      <c r="T78" s="19" t="inlineStr">
        <is>
          <t>百万円</t>
        </is>
      </c>
      <c r="U78" s="334">
        <f>F93</f>
        <v/>
      </c>
    </row>
    <row r="79" ht="15.75" customHeight="1" s="302">
      <c r="C79" s="0" t="inlineStr">
        <is>
          <t>不動産取得税</t>
        </is>
      </c>
      <c r="O79" s="2" t="n"/>
      <c r="P79" s="104" t="inlineStr">
        <is>
          <t>不動産取得税</t>
        </is>
      </c>
      <c r="S79" s="0" t="inlineStr">
        <is>
          <t>税率</t>
        </is>
      </c>
      <c r="T79" s="0" t="inlineStr">
        <is>
          <t>％</t>
        </is>
      </c>
      <c r="U79" s="115">
        <f>F94</f>
        <v/>
      </c>
    </row>
    <row r="80" ht="15.75" customHeight="1" s="302">
      <c r="C80" s="2" t="inlineStr">
        <is>
          <t>課税標準</t>
        </is>
      </c>
      <c r="D80" s="0" t="inlineStr">
        <is>
          <t>百万円</t>
        </is>
      </c>
      <c r="F80" s="383" t="n">
        <v>0</v>
      </c>
      <c r="H80" s="0" t="inlineStr">
        <is>
          <t>特例等、税制に応じて入力（施設整備額はP26セル）</t>
        </is>
      </c>
      <c r="N80" s="0" t="inlineStr">
        <is>
          <t>施設整備額</t>
        </is>
      </c>
      <c r="O80" s="2" t="n"/>
      <c r="P80" s="334">
        <f>F80</f>
        <v/>
      </c>
      <c r="S80" s="0" t="inlineStr">
        <is>
          <t>税額</t>
        </is>
      </c>
      <c r="T80" s="19" t="inlineStr">
        <is>
          <t>百万円</t>
        </is>
      </c>
      <c r="U80" s="116">
        <f>U78*U79</f>
        <v/>
      </c>
    </row>
    <row r="81" ht="15.75" customHeight="1" s="302">
      <c r="C81" s="2" t="inlineStr">
        <is>
          <t>税率</t>
        </is>
      </c>
      <c r="D81" s="0" t="inlineStr">
        <is>
          <t>％</t>
        </is>
      </c>
      <c r="F81" s="381" t="n"/>
      <c r="H81" s="72" t="inlineStr">
        <is>
          <t>BOT・BOO以外は不要</t>
        </is>
      </c>
      <c r="N81" s="0" t="inlineStr">
        <is>
          <t>税率</t>
        </is>
      </c>
      <c r="O81" s="2" t="n"/>
      <c r="P81" s="115">
        <f>F81</f>
        <v/>
      </c>
      <c r="T81" s="19" t="n"/>
      <c r="U81" s="4" t="inlineStr">
        <is>
          <t>（市町村）法人住民税率</t>
        </is>
      </c>
    </row>
    <row r="82" ht="15.75" customHeight="1" s="302">
      <c r="C82" s="0" t="inlineStr">
        <is>
          <t>固定資産税</t>
        </is>
      </c>
      <c r="N82" s="0" t="inlineStr">
        <is>
          <t>税額</t>
        </is>
      </c>
      <c r="O82" s="2" t="inlineStr">
        <is>
          <t>百万円</t>
        </is>
      </c>
      <c r="P82" s="116">
        <f>P80*P81</f>
        <v/>
      </c>
      <c r="S82" s="0" t="inlineStr">
        <is>
          <t>課税標準</t>
        </is>
      </c>
      <c r="T82" s="19" t="inlineStr">
        <is>
          <t>百万円</t>
        </is>
      </c>
      <c r="U82" s="334">
        <f>F96</f>
        <v/>
      </c>
    </row>
    <row r="83" ht="15.75" customHeight="1" s="302">
      <c r="C83" s="2" t="inlineStr">
        <is>
          <t>課税標準</t>
        </is>
      </c>
      <c r="D83" s="0" t="inlineStr">
        <is>
          <t>百万円</t>
        </is>
      </c>
      <c r="F83" s="383" t="n">
        <v>0</v>
      </c>
      <c r="H83" s="0" t="inlineStr">
        <is>
          <t>特例等、税制に応じて入力（施設整備額はP26セル）</t>
        </is>
      </c>
      <c r="O83" s="2" t="n"/>
      <c r="P83" s="104" t="inlineStr">
        <is>
          <t>登録免許税</t>
        </is>
      </c>
      <c r="S83" s="0" t="inlineStr">
        <is>
          <t>税率</t>
        </is>
      </c>
      <c r="T83" s="0" t="inlineStr">
        <is>
          <t>％</t>
        </is>
      </c>
      <c r="U83" s="115">
        <f>F97</f>
        <v/>
      </c>
    </row>
    <row r="84">
      <c r="C84" s="2" t="inlineStr">
        <is>
          <t>税率</t>
        </is>
      </c>
      <c r="D84" s="0" t="inlineStr">
        <is>
          <t>％</t>
        </is>
      </c>
      <c r="F84" s="381" t="n"/>
      <c r="H84" s="150" t="inlineStr">
        <is>
          <t>BOT・BOO以外は不要</t>
        </is>
      </c>
      <c r="N84" s="0" t="inlineStr">
        <is>
          <t>施設整備額</t>
        </is>
      </c>
      <c r="O84" s="2" t="n"/>
      <c r="P84" s="334">
        <f>F83</f>
        <v/>
      </c>
      <c r="S84" s="0" t="inlineStr">
        <is>
          <t>税額</t>
        </is>
      </c>
      <c r="T84" s="19" t="inlineStr">
        <is>
          <t>百万円</t>
        </is>
      </c>
      <c r="U84" s="116">
        <f>U82*U83</f>
        <v/>
      </c>
    </row>
    <row r="85">
      <c r="C85" s="0" t="inlineStr">
        <is>
          <t>登録免許税</t>
        </is>
      </c>
      <c r="N85" s="0" t="inlineStr">
        <is>
          <t>税率</t>
        </is>
      </c>
      <c r="O85" s="2" t="n"/>
      <c r="P85" s="115">
        <f>F87</f>
        <v/>
      </c>
      <c r="T85" s="19" t="n"/>
    </row>
    <row r="86">
      <c r="C86" s="2" t="inlineStr">
        <is>
          <t>課税標準</t>
        </is>
      </c>
      <c r="D86" s="0" t="inlineStr">
        <is>
          <t>百万円</t>
        </is>
      </c>
      <c r="F86" s="383" t="n">
        <v>0</v>
      </c>
      <c r="H86" s="0" t="inlineStr">
        <is>
          <t>税制に応じて入力（施設整備額はP26セル）</t>
        </is>
      </c>
      <c r="N86" s="0" t="inlineStr">
        <is>
          <t>税額</t>
        </is>
      </c>
      <c r="O86" s="2" t="inlineStr">
        <is>
          <t>百万円</t>
        </is>
      </c>
      <c r="P86" s="116">
        <f>P84*P85</f>
        <v/>
      </c>
      <c r="S86" s="0" t="inlineStr">
        <is>
          <t>（都道府県）不動産取得税　税額</t>
        </is>
      </c>
      <c r="T86" s="19" t="inlineStr">
        <is>
          <t>百万円</t>
        </is>
      </c>
      <c r="U86" s="118">
        <f>IF($F$13="都道府県",P82,0)</f>
        <v/>
      </c>
    </row>
    <row r="87">
      <c r="C87" s="2" t="inlineStr">
        <is>
          <t>税率</t>
        </is>
      </c>
      <c r="D87" s="0" t="inlineStr">
        <is>
          <t>％</t>
        </is>
      </c>
      <c r="F87" s="381" t="n"/>
      <c r="H87" s="150" t="inlineStr">
        <is>
          <t>BOT・BOO以外は不要</t>
        </is>
      </c>
      <c r="N87" s="0" t="n"/>
      <c r="O87" s="2" t="n"/>
      <c r="P87" s="384" t="inlineStr">
        <is>
          <t>固定資産税</t>
        </is>
      </c>
      <c r="S87" s="0" t="inlineStr">
        <is>
          <t>（市町村）固定資産税　税額</t>
        </is>
      </c>
      <c r="T87" s="19" t="inlineStr">
        <is>
          <t>百万円</t>
        </is>
      </c>
      <c r="U87" s="365">
        <f>IF($F$13="市町村",P90,0)</f>
        <v/>
      </c>
    </row>
    <row r="88">
      <c r="C88" s="0" t="inlineStr">
        <is>
          <t>うち、発注者への納付される税金</t>
        </is>
      </c>
      <c r="N88" s="0" t="inlineStr">
        <is>
          <t>施設整備額</t>
        </is>
      </c>
      <c r="O88" s="2" t="n"/>
      <c r="P88" s="334">
        <f>F83</f>
        <v/>
      </c>
    </row>
    <row r="89">
      <c r="C89" s="0" t="inlineStr">
        <is>
          <t>（都道府県）事業税</t>
        </is>
      </c>
      <c r="N89" s="0" t="inlineStr">
        <is>
          <t>税率</t>
        </is>
      </c>
      <c r="O89" s="2" t="n"/>
      <c r="P89" s="115">
        <f>F84</f>
        <v/>
      </c>
    </row>
    <row r="90">
      <c r="C90" s="2" t="inlineStr">
        <is>
          <t>課税標準</t>
        </is>
      </c>
      <c r="D90" s="0" t="inlineStr">
        <is>
          <t>百万円</t>
        </is>
      </c>
      <c r="F90" s="333" t="n">
        <v>0</v>
      </c>
      <c r="H90" s="0" t="inlineStr">
        <is>
          <t>0をデフォルト値とする</t>
        </is>
      </c>
      <c r="N90" s="0" t="inlineStr">
        <is>
          <t>税額</t>
        </is>
      </c>
      <c r="O90" s="2" t="inlineStr">
        <is>
          <t>百万円</t>
        </is>
      </c>
      <c r="P90" s="116">
        <f>P88*P89</f>
        <v/>
      </c>
    </row>
    <row r="91">
      <c r="C91" s="2" t="inlineStr">
        <is>
          <t>税率</t>
        </is>
      </c>
      <c r="D91" s="0" t="inlineStr">
        <is>
          <t>％</t>
        </is>
      </c>
      <c r="F91" s="333" t="n">
        <v>0</v>
      </c>
      <c r="H91" s="0" t="inlineStr">
        <is>
          <t>発注者が都道府県の場合、入力</t>
        </is>
      </c>
      <c r="K91" s="4" t="inlineStr">
        <is>
          <t>法人税等・公租公課</t>
        </is>
      </c>
      <c r="N91" s="0" t="n"/>
      <c r="O91" s="2" t="n"/>
      <c r="R91" s="4" t="inlineStr">
        <is>
          <t>発注者に納付される税金　合計</t>
        </is>
      </c>
      <c r="S91" s="4" t="n"/>
    </row>
    <row r="92">
      <c r="C92" s="0" t="inlineStr">
        <is>
          <t>（都道府県）法人住民税</t>
        </is>
      </c>
      <c r="M92" s="0" t="inlineStr">
        <is>
          <t>整備期間中</t>
        </is>
      </c>
      <c r="N92" s="0" t="inlineStr">
        <is>
          <t>税額</t>
        </is>
      </c>
      <c r="O92" s="2" t="inlineStr">
        <is>
          <t>百万円</t>
        </is>
      </c>
      <c r="P92" s="358">
        <f>P78</f>
        <v/>
      </c>
      <c r="S92" s="0" t="inlineStr">
        <is>
          <t>完工年度のみ</t>
        </is>
      </c>
      <c r="T92" s="19" t="inlineStr">
        <is>
          <t>百万円</t>
        </is>
      </c>
      <c r="U92" s="365">
        <f>SUM(F99,U76,U80,U84,U86:U87)</f>
        <v/>
      </c>
    </row>
    <row r="93">
      <c r="C93" s="2" t="inlineStr">
        <is>
          <t>課税標準</t>
        </is>
      </c>
      <c r="D93" s="0" t="inlineStr">
        <is>
          <t>百万円</t>
        </is>
      </c>
      <c r="F93" s="333" t="n">
        <v>0</v>
      </c>
      <c r="H93" s="0" t="inlineStr">
        <is>
          <t>0をデフォルト値とする</t>
        </is>
      </c>
      <c r="M93" s="0" t="inlineStr">
        <is>
          <t>完工年度のみ</t>
        </is>
      </c>
      <c r="N93" s="0" t="inlineStr">
        <is>
          <t>税額</t>
        </is>
      </c>
      <c r="O93" s="2" t="inlineStr">
        <is>
          <t>百万円</t>
        </is>
      </c>
      <c r="P93" s="385">
        <f>SUM(P76,P78,P82,P86,P90)</f>
        <v/>
      </c>
      <c r="S93" s="0" t="inlineStr">
        <is>
          <t>運営期間中</t>
        </is>
      </c>
      <c r="T93" s="19" t="inlineStr">
        <is>
          <t>百万円</t>
        </is>
      </c>
      <c r="U93" s="365">
        <f>SUM(F100,U76,U80,U84)</f>
        <v/>
      </c>
    </row>
    <row r="94">
      <c r="C94" s="2" t="inlineStr">
        <is>
          <t>税率</t>
        </is>
      </c>
      <c r="D94" s="0" t="inlineStr">
        <is>
          <t>％</t>
        </is>
      </c>
      <c r="F94" s="333" t="n">
        <v>0</v>
      </c>
      <c r="H94" s="0" t="inlineStr">
        <is>
          <t>発注者が都道府県の場合、入力</t>
        </is>
      </c>
      <c r="M94" s="0" t="inlineStr">
        <is>
          <t>運営期間中</t>
        </is>
      </c>
      <c r="N94" s="0" t="inlineStr">
        <is>
          <t>税額</t>
        </is>
      </c>
      <c r="O94" s="2" t="inlineStr">
        <is>
          <t>百万円</t>
        </is>
      </c>
      <c r="P94" s="386">
        <f>SUM(P76,P78,P90)</f>
        <v/>
      </c>
    </row>
    <row r="95">
      <c r="C95" s="56" t="inlineStr">
        <is>
          <t>（市町村）法人住民税</t>
        </is>
      </c>
    </row>
    <row r="96">
      <c r="C96" s="2" t="inlineStr">
        <is>
          <t>課税標準</t>
        </is>
      </c>
      <c r="D96" s="0" t="inlineStr">
        <is>
          <t>百万円</t>
        </is>
      </c>
      <c r="F96" s="333" t="n">
        <v>0</v>
      </c>
      <c r="H96" s="0" t="inlineStr">
        <is>
          <t>0をデフォルト値とする</t>
        </is>
      </c>
    </row>
    <row r="97">
      <c r="C97" s="2" t="inlineStr">
        <is>
          <t>税率</t>
        </is>
      </c>
      <c r="D97" s="0" t="inlineStr">
        <is>
          <t>％</t>
        </is>
      </c>
      <c r="F97" s="333" t="n">
        <v>0</v>
      </c>
      <c r="H97" s="0" t="inlineStr">
        <is>
          <t>発注者が市町村又は東京都の場合、入力</t>
        </is>
      </c>
    </row>
    <row r="99">
      <c r="C99" s="0" t="inlineStr">
        <is>
          <t>任意入力（全額）①　完工年度のみ</t>
        </is>
      </c>
      <c r="D99" s="0" t="inlineStr">
        <is>
          <t>百万円</t>
        </is>
      </c>
      <c r="F99" s="387" t="n"/>
    </row>
    <row r="100">
      <c r="C100" s="0" t="inlineStr">
        <is>
          <t>任意入力（全額）②　運営期間中</t>
        </is>
      </c>
      <c r="D100" s="0" t="inlineStr">
        <is>
          <t>百万円</t>
        </is>
      </c>
      <c r="F100" s="387" t="n"/>
    </row>
    <row r="102">
      <c r="A102" s="4" t="inlineStr">
        <is>
          <t>６．リスク調整</t>
        </is>
      </c>
      <c r="J102" s="4" t="inlineStr">
        <is>
          <t>６.リスク調整額</t>
        </is>
      </c>
      <c r="O102" s="0" t="inlineStr">
        <is>
          <t>PSC</t>
        </is>
      </c>
      <c r="P102" s="0" t="inlineStr">
        <is>
          <t>PFI-LCC</t>
        </is>
      </c>
    </row>
    <row r="103">
      <c r="C103" s="312" t="n"/>
      <c r="D103" s="312" t="n"/>
      <c r="E103" s="312" t="n"/>
      <c r="F103" s="312" t="inlineStr">
        <is>
          <t>リスク調整額</t>
        </is>
      </c>
      <c r="K103" s="0" t="inlineStr">
        <is>
          <t>5.1SPC設立費用</t>
        </is>
      </c>
      <c r="N103" s="19" t="inlineStr">
        <is>
          <t>百万円</t>
        </is>
      </c>
      <c r="O103" s="358">
        <f>F104</f>
        <v/>
      </c>
      <c r="P103" s="362" t="n"/>
    </row>
    <row r="104">
      <c r="C104" s="94" t="inlineStr">
        <is>
          <t>SPC設立費用</t>
        </is>
      </c>
      <c r="D104" s="0" t="inlineStr">
        <is>
          <t>百万円</t>
        </is>
      </c>
      <c r="F104" s="388" t="n"/>
      <c r="H104" s="150" t="inlineStr">
        <is>
          <t>SPC設立なし</t>
        </is>
      </c>
      <c r="K104" s="0" t="inlineStr">
        <is>
          <t>5.2SPC経費</t>
        </is>
      </c>
      <c r="N104" s="19" t="inlineStr">
        <is>
          <t>百万円</t>
        </is>
      </c>
      <c r="O104" s="389">
        <f>F105*O16</f>
        <v/>
      </c>
      <c r="P104" s="362" t="n"/>
    </row>
    <row r="105">
      <c r="C105" s="94" t="inlineStr">
        <is>
          <t>SPC経費（年額）</t>
        </is>
      </c>
      <c r="D105" s="0" t="inlineStr">
        <is>
          <t>百万円</t>
        </is>
      </c>
      <c r="F105" s="388" t="n"/>
      <c r="H105" s="150" t="inlineStr">
        <is>
          <t>SPC設立なし</t>
        </is>
      </c>
      <c r="K105" s="0" t="inlineStr">
        <is>
          <t>5.3SPC予備費</t>
        </is>
      </c>
      <c r="N105" s="19" t="inlineStr">
        <is>
          <t>百万円</t>
        </is>
      </c>
      <c r="O105" s="358">
        <f>F106</f>
        <v/>
      </c>
      <c r="P105" s="362" t="n"/>
    </row>
    <row r="106">
      <c r="C106" s="94" t="inlineStr">
        <is>
          <t>SPC予備費</t>
        </is>
      </c>
      <c r="D106" s="0" t="inlineStr">
        <is>
          <t>百万円</t>
        </is>
      </c>
      <c r="F106" s="388" t="n"/>
      <c r="H106" s="150" t="inlineStr">
        <is>
          <t>SPC設立なし</t>
        </is>
      </c>
      <c r="K106" s="0" t="inlineStr">
        <is>
          <t>5.4官民での利払い費用の差</t>
        </is>
      </c>
    </row>
    <row r="107">
      <c r="C107" s="94" t="n"/>
      <c r="M107" s="0" t="inlineStr">
        <is>
          <t>公共の調達金利（地方債）</t>
        </is>
      </c>
      <c r="N107" s="19" t="inlineStr">
        <is>
          <t>％</t>
        </is>
      </c>
      <c r="O107" s="390">
        <f>F65</f>
        <v/>
      </c>
      <c r="P107" s="362" t="n"/>
    </row>
    <row r="108">
      <c r="C108" s="94" t="n"/>
      <c r="M108" s="0" t="inlineStr">
        <is>
          <t>民間の借入金利</t>
        </is>
      </c>
      <c r="N108" s="19" t="inlineStr">
        <is>
          <t>％</t>
        </is>
      </c>
      <c r="O108" s="391">
        <f>P67</f>
        <v/>
      </c>
      <c r="P108" s="362" t="n"/>
    </row>
    <row r="109">
      <c r="C109" s="94" t="n"/>
      <c r="M109" s="0" t="inlineStr">
        <is>
          <t>官民での利払い差（レート）</t>
        </is>
      </c>
      <c r="N109" s="19" t="inlineStr">
        <is>
          <t>％</t>
        </is>
      </c>
      <c r="O109" s="390">
        <f>O108-O107</f>
        <v/>
      </c>
      <c r="P109" s="362" t="n"/>
    </row>
    <row r="110">
      <c r="M110" s="392" t="inlineStr">
        <is>
          <t>官民利払い費の差</t>
        </is>
      </c>
      <c r="N110" s="0" t="inlineStr">
        <is>
          <t>百万円</t>
        </is>
      </c>
      <c r="O110" s="389">
        <f>SUM(AK17:AK46)</f>
        <v/>
      </c>
      <c r="P110" s="362" t="n"/>
    </row>
    <row r="112" ht="15" customFormat="1" customHeight="1" s="264" thickBot="1">
      <c r="B112" s="264" t="inlineStr">
        <is>
          <t>END OF WORKSHEET</t>
        </is>
      </c>
      <c r="I112" s="265" t="n"/>
    </row>
    <row r="113" hidden="1" ht="19" customHeight="1" s="302" thickTop="1"/>
  </sheetData>
  <dataValidations count="2">
    <dataValidation sqref="F13" showDropDown="0" showInputMessage="1" showErrorMessage="1" allowBlank="0" type="list">
      <formula1>$O$13:$Q$13</formula1>
    </dataValidation>
    <dataValidation sqref="F47" showDropDown="0" showInputMessage="1" showErrorMessage="1" allowBlank="0" type="list">
      <formula1>$G$47:$G$48</formula1>
    </dataValidation>
  </dataValidations>
  <pageMargins left="0.2362204724409449" right="0.2362204724409449" top="0.7480314960629921" bottom="0.7480314960629921" header="0.3149606299212598" footer="0.3149606299212598"/>
  <pageSetup orientation="landscape" paperSize="8" scale="41" fitToWidth="0"/>
  <colBreaks count="2" manualBreakCount="2">
    <brk id="21" min="0" max="1048575" man="1"/>
    <brk id="58" min="0" max="1048575" man="1"/>
  </colBreaks>
</worksheet>
</file>

<file path=xl/worksheets/sheet4.xml><?xml version="1.0" encoding="utf-8"?>
<worksheet xmlns="http://schemas.openxmlformats.org/spreadsheetml/2006/main">
  <sheetPr>
    <tabColor rgb="FFFFC000"/>
    <outlinePr summaryBelow="1" summaryRight="1"/>
    <pageSetUpPr fitToPage="1"/>
  </sheetPr>
  <dimension ref="A2:CA112"/>
  <sheetViews>
    <sheetView showGridLines="0" view="pageBreakPreview" topLeftCell="S10" zoomScale="70" zoomScaleNormal="70" zoomScaleSheetLayoutView="70" workbookViewId="0">
      <selection activeCell="AC19" sqref="AC19"/>
    </sheetView>
  </sheetViews>
  <sheetFormatPr baseColWidth="10" defaultColWidth="0" defaultRowHeight="18" zeroHeight="1" outlineLevelCol="1"/>
  <cols>
    <col width="4.83203125" customWidth="1" style="302" min="1" max="1"/>
    <col width="40.6640625" customWidth="1" style="302" min="2" max="2"/>
    <col width="40.1640625" bestFit="1" customWidth="1" style="302" min="3" max="3"/>
    <col width="7.33203125" customWidth="1" style="302" min="4" max="4"/>
    <col width="8.5" bestFit="1" customWidth="1" style="302" min="5" max="5"/>
    <col width="11.5" customWidth="1" style="302" min="6" max="6"/>
    <col width="2.5" customWidth="1" style="302" min="7" max="7"/>
    <col width="43.6640625" customWidth="1" style="302" min="8" max="8"/>
    <col width="1.6640625" customWidth="1" style="302" min="9" max="9"/>
    <col outlineLevel="1" width="12.5" customWidth="1" style="302" min="10" max="11"/>
    <col outlineLevel="1" width="1.83203125" customWidth="1" style="302" min="12" max="12"/>
    <col outlineLevel="1" width="42.1640625" customWidth="1" style="302" min="13" max="13"/>
    <col outlineLevel="1" width="11.1640625" customWidth="1" style="19" min="14" max="14"/>
    <col outlineLevel="1" width="24.5" customWidth="1" style="302" min="15" max="16"/>
    <col outlineLevel="1" width="4.6640625" customWidth="1" style="302" min="17" max="17"/>
    <col outlineLevel="1" width="10" customWidth="1" style="302" min="18" max="18"/>
    <col outlineLevel="1" width="19.1640625" customWidth="1" style="302" min="19" max="19"/>
    <col outlineLevel="1" width="7.5" customWidth="1" style="302" min="20" max="20"/>
    <col outlineLevel="1" width="24.5" customWidth="1" style="302" min="21" max="21"/>
    <col width="12" customWidth="1" style="302" min="22" max="22"/>
    <col width="9.6640625" customWidth="1" style="302" min="23" max="23"/>
    <col width="21.5" customWidth="1" style="302" min="24" max="24"/>
    <col width="10.83203125" customWidth="1" style="302" min="25" max="26"/>
    <col width="10.83203125" customWidth="1" style="19" min="27" max="36"/>
    <col width="10.83203125" customWidth="1" style="312" min="37" max="38"/>
    <col width="12" customWidth="1" style="312" min="39" max="39"/>
    <col width="1.6640625" customWidth="1" style="312" min="40" max="40"/>
    <col width="10.33203125" customWidth="1" style="312" min="41" max="41"/>
    <col width="10.33203125" customWidth="1" style="19" min="42" max="45"/>
    <col width="16" customWidth="1" style="19" min="46" max="49"/>
    <col width="10.6640625" customWidth="1" style="19" min="50" max="54"/>
    <col width="12" customWidth="1" style="19" min="55" max="56"/>
    <col width="1.6640625" customWidth="1" style="19" min="57" max="57"/>
    <col width="12" customWidth="1" style="312" min="58" max="58"/>
    <col width="1.5" customWidth="1" style="19" min="59" max="59"/>
    <col width="16" customWidth="1" style="19" min="60" max="63"/>
    <col width="12" customWidth="1" style="19" min="64" max="70"/>
    <col width="16.83203125" customWidth="1" style="19" min="71" max="71"/>
    <col width="12" customWidth="1" style="19" min="72" max="74"/>
    <col width="2.1640625" customWidth="1" style="19" min="75" max="75"/>
    <col width="12" customWidth="1" style="19" min="76" max="76"/>
    <col width="21" bestFit="1" customWidth="1" style="19" min="77" max="77"/>
    <col hidden="1" width="3.33203125" customWidth="1" style="19" min="78" max="78"/>
    <col hidden="1" style="19" min="79" max="79"/>
    <col hidden="1" style="302" min="80" max="91"/>
    <col hidden="1" width="9" customWidth="1" style="302" min="92" max="16384"/>
  </cols>
  <sheetData>
    <row r="1" ht="15.75" customHeight="1" s="302"/>
    <row r="2">
      <c r="B2" s="4" t="inlineStr">
        <is>
          <t>入力箇所の説明</t>
        </is>
      </c>
      <c r="Y2" s="242" t="n"/>
      <c r="Z2" s="242" t="n"/>
      <c r="AA2" s="33" t="n"/>
      <c r="AB2" s="33" t="n"/>
      <c r="AC2" s="33" t="n"/>
      <c r="AD2" s="33" t="n"/>
      <c r="AE2" s="33" t="n"/>
      <c r="AF2" s="33" t="n"/>
      <c r="AG2" s="33" t="n"/>
      <c r="AH2" s="33" t="n"/>
      <c r="AI2" s="33" t="n"/>
      <c r="AJ2" s="33" t="n"/>
      <c r="AK2" s="313" t="n"/>
      <c r="AL2" s="313" t="n"/>
      <c r="AM2" s="313" t="n"/>
      <c r="AO2" s="313" t="n"/>
      <c r="AP2" s="33" t="n"/>
      <c r="AQ2" s="33" t="n"/>
      <c r="AR2" s="33" t="n"/>
      <c r="AS2" s="33" t="n"/>
      <c r="AT2" s="33" t="n"/>
      <c r="AU2" s="33" t="n"/>
      <c r="AV2" s="33" t="n"/>
      <c r="AW2" s="33" t="n"/>
      <c r="AX2" s="33" t="n"/>
      <c r="AY2" s="33" t="n"/>
      <c r="AZ2" s="33" t="n"/>
      <c r="BA2" s="33" t="n"/>
      <c r="BB2" s="33" t="n"/>
      <c r="BC2" s="33" t="n"/>
      <c r="BD2" s="33" t="n"/>
      <c r="BH2" s="33" t="n"/>
      <c r="BI2" s="33" t="n"/>
      <c r="BJ2" s="33" t="n"/>
      <c r="BK2" s="33" t="n"/>
      <c r="BL2" s="33" t="n"/>
      <c r="BM2" s="33" t="n"/>
      <c r="BN2" s="33" t="n"/>
      <c r="BO2" s="33" t="n"/>
      <c r="BP2" s="33" t="n"/>
      <c r="BQ2" s="33" t="n"/>
      <c r="BR2" s="33" t="n"/>
      <c r="BS2" s="33" t="n"/>
      <c r="BT2" s="33" t="n"/>
      <c r="BU2" s="33" t="n"/>
      <c r="BV2" s="33" t="n"/>
    </row>
    <row r="3">
      <c r="B3" s="314" t="inlineStr">
        <is>
          <t>入力セル（手入力/プルダウンから選択）</t>
        </is>
      </c>
      <c r="Y3" s="242" t="n"/>
      <c r="Z3" s="242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13" t="n"/>
      <c r="AL3" s="313" t="n"/>
      <c r="AM3" s="313" t="n"/>
      <c r="AO3" s="313" t="n"/>
      <c r="AP3" s="33" t="n"/>
      <c r="AQ3" s="33" t="n"/>
      <c r="AR3" s="33" t="n"/>
      <c r="AS3" s="33" t="n"/>
      <c r="AT3" s="33" t="n"/>
      <c r="AU3" s="33" t="n"/>
      <c r="AV3" s="33" t="n"/>
      <c r="AW3" s="33" t="n"/>
      <c r="AX3" s="33" t="n"/>
      <c r="AY3" s="33" t="n"/>
      <c r="AZ3" s="33" t="n"/>
      <c r="BA3" s="33" t="n"/>
      <c r="BB3" s="33" t="n"/>
      <c r="BC3" s="33" t="n"/>
      <c r="BD3" s="33" t="n"/>
      <c r="BH3" s="33" t="n"/>
      <c r="BI3" s="33" t="n"/>
      <c r="BJ3" s="33" t="n"/>
      <c r="BK3" s="33" t="n"/>
      <c r="BL3" s="33" t="n"/>
      <c r="BM3" s="33" t="n"/>
      <c r="BN3" s="33" t="n"/>
      <c r="BO3" s="33" t="n"/>
      <c r="BP3" s="33" t="n"/>
      <c r="BQ3" s="33" t="n"/>
      <c r="BR3" s="33" t="n"/>
      <c r="BS3" s="33" t="n"/>
      <c r="BT3" s="33" t="n"/>
      <c r="BU3" s="33" t="n"/>
      <c r="BV3" s="33" t="n"/>
    </row>
    <row r="4">
      <c r="B4" s="271" t="inlineStr">
        <is>
          <t>デフォルト値</t>
        </is>
      </c>
      <c r="Y4" s="242" t="n"/>
      <c r="Z4" s="242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13" t="n"/>
      <c r="AL4" s="313" t="n"/>
      <c r="AM4" s="313" t="n"/>
      <c r="AO4" s="313" t="n"/>
      <c r="AP4" s="33" t="n"/>
      <c r="AQ4" s="33" t="n"/>
      <c r="AR4" s="33" t="n"/>
      <c r="AS4" s="33" t="n"/>
      <c r="AT4" s="33" t="n"/>
      <c r="AU4" s="33" t="n"/>
      <c r="AV4" s="33" t="n"/>
      <c r="AW4" s="33" t="n"/>
      <c r="AX4" s="33" t="n"/>
      <c r="AY4" s="33" t="n"/>
      <c r="AZ4" s="33" t="n"/>
      <c r="BA4" s="33" t="n"/>
      <c r="BB4" s="33" t="n"/>
      <c r="BC4" s="33" t="n"/>
      <c r="BD4" s="33" t="n"/>
      <c r="BH4" s="33" t="n"/>
      <c r="BI4" s="33" t="n"/>
      <c r="BJ4" s="33" t="n"/>
      <c r="BK4" s="33" t="n"/>
      <c r="BL4" s="33" t="n"/>
      <c r="BM4" s="33" t="n"/>
      <c r="BN4" s="33" t="n"/>
      <c r="BO4" s="33" t="n"/>
      <c r="BP4" s="33" t="n"/>
      <c r="BQ4" s="33" t="n"/>
      <c r="BR4" s="33" t="n"/>
      <c r="BS4" s="33" t="n"/>
      <c r="BT4" s="33" t="n"/>
      <c r="BU4" s="33" t="n"/>
      <c r="BV4" s="33" t="n"/>
    </row>
    <row r="5" ht="15.75" customHeight="1" s="302">
      <c r="B5" s="315" t="inlineStr">
        <is>
          <t>他セルからの参照（入力不要）</t>
        </is>
      </c>
      <c r="Y5" s="242" t="n"/>
      <c r="Z5" s="242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13" t="n"/>
      <c r="AL5" s="313" t="n"/>
      <c r="AM5" s="313" t="n"/>
      <c r="AO5" s="313" t="n"/>
      <c r="AP5" s="33" t="n"/>
      <c r="AQ5" s="33" t="n"/>
      <c r="AR5" s="33" t="n"/>
      <c r="AS5" s="33" t="n"/>
      <c r="AT5" s="33" t="n"/>
      <c r="AU5" s="33" t="n"/>
      <c r="AV5" s="33" t="n"/>
      <c r="AW5" s="33" t="n"/>
      <c r="AX5" s="33" t="n"/>
      <c r="AY5" s="33" t="n"/>
      <c r="AZ5" s="33" t="n"/>
      <c r="BA5" s="33" t="n"/>
      <c r="BB5" s="33" t="n"/>
      <c r="BC5" s="33" t="n"/>
      <c r="BD5" s="33" t="n"/>
      <c r="BH5" s="33" t="n"/>
      <c r="BI5" s="33" t="n"/>
      <c r="BJ5" s="33" t="n"/>
      <c r="BK5" s="33" t="n"/>
      <c r="BL5" s="33" t="n"/>
      <c r="BM5" s="33" t="n"/>
      <c r="BN5" s="33" t="n"/>
      <c r="BO5" s="33" t="n"/>
      <c r="BP5" s="33" t="n"/>
      <c r="BQ5" s="33" t="n"/>
      <c r="BR5" s="33" t="n"/>
      <c r="BS5" s="33" t="n"/>
      <c r="BT5" s="33" t="n"/>
      <c r="BU5" s="33" t="n"/>
      <c r="BV5" s="33" t="n"/>
    </row>
    <row r="6" ht="15.75" customHeight="1" s="302">
      <c r="Y6" s="242" t="n"/>
      <c r="Z6" s="242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13" t="n"/>
      <c r="AL6" s="313" t="n"/>
      <c r="AM6" s="313" t="n"/>
      <c r="AO6" s="313" t="n"/>
      <c r="AP6" s="33" t="n"/>
      <c r="AQ6" s="33" t="n"/>
      <c r="AR6" s="33" t="n"/>
      <c r="AS6" s="33" t="n"/>
      <c r="AT6" s="33" t="n"/>
      <c r="AU6" s="33" t="n"/>
      <c r="AV6" s="33" t="n"/>
      <c r="AW6" s="33" t="n"/>
      <c r="AX6" s="33" t="n"/>
      <c r="AY6" s="33" t="n"/>
      <c r="AZ6" s="33" t="n"/>
      <c r="BA6" s="33" t="n"/>
      <c r="BB6" s="33" t="n"/>
      <c r="BC6" s="33" t="n"/>
      <c r="BD6" s="33" t="n"/>
      <c r="BH6" s="33" t="n"/>
      <c r="BI6" s="33" t="n"/>
      <c r="BJ6" s="33" t="n"/>
      <c r="BK6" s="33" t="n"/>
      <c r="BL6" s="33" t="n"/>
      <c r="BM6" s="33" t="n"/>
      <c r="BN6" s="33" t="n"/>
      <c r="BO6" s="33" t="n"/>
      <c r="BP6" s="33" t="n"/>
      <c r="BQ6" s="33" t="n"/>
      <c r="BR6" s="33" t="n"/>
      <c r="BS6" s="33" t="n"/>
      <c r="BT6" s="33" t="n"/>
      <c r="BU6" s="33" t="n"/>
      <c r="BV6" s="33" t="n"/>
    </row>
    <row r="7" ht="15.75" customFormat="1" customHeight="1" s="4">
      <c r="A7" s="25" t="inlineStr">
        <is>
          <t>■前提条件入力</t>
        </is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4" t="inlineStr">
        <is>
          <t>■計算</t>
        </is>
      </c>
      <c r="K7" s="24" t="n"/>
      <c r="L7" s="24" t="n"/>
      <c r="M7" s="24" t="n"/>
      <c r="N7" s="85" t="n"/>
      <c r="O7" s="24" t="n"/>
      <c r="P7" s="24" t="n"/>
      <c r="Q7" s="24" t="n"/>
      <c r="R7" s="24" t="n"/>
      <c r="S7" s="24" t="n"/>
      <c r="T7" s="24" t="n"/>
      <c r="U7" s="24" t="n"/>
      <c r="V7" s="22" t="inlineStr">
        <is>
          <t>■収支（アウトプット）</t>
        </is>
      </c>
      <c r="W7" s="22" t="n"/>
      <c r="X7" s="22" t="n"/>
      <c r="Y7" s="22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316" t="n"/>
      <c r="AL7" s="316" t="n"/>
      <c r="AM7" s="316" t="n"/>
      <c r="AN7" s="316" t="n"/>
      <c r="AO7" s="316" t="n"/>
      <c r="AP7" s="23" t="n"/>
      <c r="AQ7" s="23" t="n"/>
      <c r="AR7" s="23" t="n"/>
      <c r="AS7" s="23" t="n"/>
      <c r="AT7" s="23" t="n"/>
      <c r="AU7" s="23" t="n"/>
      <c r="AV7" s="23" t="n"/>
      <c r="AW7" s="23" t="n"/>
      <c r="AX7" s="23" t="n"/>
      <c r="AY7" s="23" t="n"/>
      <c r="AZ7" s="23" t="n"/>
      <c r="BA7" s="23" t="n"/>
      <c r="BB7" s="23" t="n"/>
      <c r="BC7" s="23" t="n"/>
      <c r="BD7" s="23" t="n"/>
      <c r="BE7" s="23" t="n"/>
      <c r="BF7" s="316" t="n"/>
      <c r="BG7" s="23" t="n"/>
      <c r="BH7" s="23" t="n"/>
      <c r="BI7" s="23" t="n"/>
      <c r="BJ7" s="23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3" t="n"/>
      <c r="BV7" s="23" t="n"/>
      <c r="BW7" s="23" t="n"/>
      <c r="BX7" s="23" t="n"/>
      <c r="BY7" s="23" t="n"/>
      <c r="BZ7" s="23" t="n"/>
      <c r="CA7" s="23" t="n"/>
    </row>
    <row r="8" ht="15.75" customFormat="1" customHeight="1" s="4">
      <c r="A8" s="257" t="n"/>
      <c r="B8" s="273" t="inlineStr">
        <is>
          <t>※収入・費用は全て消費税抜で入力する</t>
        </is>
      </c>
      <c r="C8" s="257" t="n"/>
      <c r="D8" s="257" t="n"/>
      <c r="E8" s="257" t="n"/>
      <c r="F8" s="257" t="n"/>
      <c r="G8" s="257" t="n"/>
      <c r="H8" s="257" t="n"/>
      <c r="I8" s="257" t="n"/>
      <c r="N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317" t="n"/>
      <c r="AL8" s="317" t="n"/>
      <c r="AM8" s="317" t="n"/>
      <c r="AN8" s="317" t="n"/>
      <c r="AO8" s="317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317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</row>
    <row r="9" ht="15.75" customHeight="1" s="302" thickBot="1">
      <c r="W9" s="55" t="inlineStr">
        <is>
          <t>VFM</t>
        </is>
      </c>
      <c r="X9" s="50" t="n"/>
      <c r="Y9" s="50" t="n"/>
      <c r="AC9" s="8" t="inlineStr">
        <is>
          <t>SPC利回り</t>
        </is>
      </c>
    </row>
    <row r="10" ht="15.75" customHeight="1" s="302">
      <c r="D10" s="0" t="inlineStr">
        <is>
          <t>単位</t>
        </is>
      </c>
      <c r="K10" s="19" t="n"/>
      <c r="L10" s="19" t="n"/>
      <c r="M10" s="19" t="n"/>
      <c r="N10" s="19" t="inlineStr">
        <is>
          <t>単位</t>
        </is>
      </c>
      <c r="O10" s="19" t="n"/>
      <c r="P10" s="19" t="n"/>
      <c r="Q10" s="19" t="inlineStr">
        <is>
          <t>備考</t>
        </is>
      </c>
      <c r="R10" s="19" t="n"/>
      <c r="S10" s="19" t="n"/>
      <c r="T10" s="19" t="n"/>
      <c r="U10" s="19" t="n"/>
      <c r="W10" s="10" t="inlineStr">
        <is>
          <t>収支差額</t>
        </is>
      </c>
      <c r="X10" s="11" t="inlineStr">
        <is>
          <t>割引・リスク調整加算後</t>
        </is>
      </c>
      <c r="Y10" s="12" t="inlineStr">
        <is>
          <t>％</t>
        </is>
      </c>
      <c r="AC10" s="9" t="inlineStr">
        <is>
          <t>PIRR</t>
        </is>
      </c>
      <c r="BQ10" s="5" t="n"/>
      <c r="BR10" s="5" t="n"/>
      <c r="BS10" s="5" t="n"/>
      <c r="BT10" s="5" t="n"/>
      <c r="BY10" s="5" t="n"/>
    </row>
    <row r="11" ht="15.75" customHeight="1" s="302" thickBot="1">
      <c r="A11" s="4" t="inlineStr">
        <is>
          <t>１．共通条件</t>
        </is>
      </c>
      <c r="J11" s="4" t="inlineStr">
        <is>
          <t>１．共通条件</t>
        </is>
      </c>
      <c r="W11" s="318">
        <f>AL58-BC58</f>
        <v/>
      </c>
      <c r="X11" s="319">
        <f>AM58-BD58</f>
        <v/>
      </c>
      <c r="Y11" s="320">
        <f>X11/AM58</f>
        <v/>
      </c>
      <c r="AC11" s="321">
        <f>IFERROR(XIRR(BV17:BV56,V17:V56),"N/A")</f>
        <v/>
      </c>
      <c r="AD11" s="56" t="inlineStr">
        <is>
          <t>借入金利以上であることを確認</t>
        </is>
      </c>
      <c r="BQ11" s="5" t="n"/>
      <c r="BR11" s="5" t="n"/>
      <c r="BS11" s="5" t="n"/>
      <c r="BT11" s="5" t="n"/>
      <c r="BY11" s="5" t="n"/>
    </row>
    <row r="12" ht="15.75" customHeight="1" s="302">
      <c r="AA12" s="0" t="n"/>
      <c r="AB12" s="0" t="n"/>
      <c r="AC12" s="0" t="n"/>
      <c r="AD12" s="0" t="n"/>
    </row>
    <row r="13" ht="15.75" customHeight="1" s="302">
      <c r="B13" s="0" t="inlineStr">
        <is>
          <t>1.1発注者区分</t>
        </is>
      </c>
      <c r="F13" s="322" t="inlineStr">
        <is>
          <t>市町村</t>
        </is>
      </c>
      <c r="J13" s="0" t="inlineStr">
        <is>
          <t>1.1発注者区分</t>
        </is>
      </c>
      <c r="O13" s="0" t="inlineStr">
        <is>
          <t>国</t>
        </is>
      </c>
      <c r="P13" s="0" t="inlineStr">
        <is>
          <t>都道府県</t>
        </is>
      </c>
      <c r="Q13" s="0" t="inlineStr">
        <is>
          <t>市町村</t>
        </is>
      </c>
      <c r="V13" s="5" t="inlineStr">
        <is>
          <t>スケジュール</t>
        </is>
      </c>
      <c r="W13" s="5" t="inlineStr">
        <is>
          <t>経過年度</t>
        </is>
      </c>
      <c r="X13" s="5" t="inlineStr">
        <is>
          <t>事業期間</t>
        </is>
      </c>
      <c r="Y13" s="59" t="inlineStr">
        <is>
          <t>PSC</t>
        </is>
      </c>
      <c r="Z13" s="60" t="n"/>
      <c r="AA13" s="60" t="n"/>
      <c r="AB13" s="60" t="n"/>
      <c r="AC13" s="60" t="n"/>
      <c r="AD13" s="60" t="n"/>
      <c r="AE13" s="60" t="n"/>
      <c r="AF13" s="60" t="n"/>
      <c r="AG13" s="60" t="n"/>
      <c r="AH13" s="60" t="n"/>
      <c r="AI13" s="60" t="n"/>
      <c r="AJ13" s="103" t="n"/>
      <c r="AK13" s="146" t="inlineStr">
        <is>
          <t>リスク調整額</t>
        </is>
      </c>
      <c r="AL13" s="323" t="n"/>
      <c r="AM13" s="96" t="n"/>
      <c r="AN13" s="32" t="n"/>
      <c r="AO13" s="208" t="inlineStr">
        <is>
          <t>PFI-LCC</t>
        </is>
      </c>
      <c r="AP13" s="209" t="n"/>
      <c r="AQ13" s="209" t="n"/>
      <c r="AR13" s="209" t="n"/>
      <c r="AS13" s="209" t="n"/>
      <c r="AT13" s="209" t="n"/>
      <c r="AU13" s="209" t="n"/>
      <c r="AV13" s="209" t="n"/>
      <c r="AW13" s="209" t="n"/>
      <c r="AX13" s="209" t="n"/>
      <c r="AY13" s="209" t="n"/>
      <c r="AZ13" s="209" t="n"/>
      <c r="BA13" s="209" t="n"/>
      <c r="BB13" s="209" t="n"/>
      <c r="BC13" s="210" t="n"/>
      <c r="BD13" s="211" t="inlineStr">
        <is>
          <t>収支</t>
        </is>
      </c>
      <c r="BE13" s="33" t="n"/>
      <c r="BF13" s="19" t="n"/>
      <c r="BH13" s="65" t="inlineStr">
        <is>
          <t>SPC</t>
        </is>
      </c>
      <c r="BI13" s="66" t="n"/>
      <c r="BJ13" s="66" t="n"/>
      <c r="BK13" s="66" t="n"/>
      <c r="BL13" s="66" t="n"/>
      <c r="BM13" s="66" t="n"/>
      <c r="BN13" s="66" t="n"/>
      <c r="BO13" s="66" t="n"/>
      <c r="BP13" s="66" t="n"/>
      <c r="BQ13" s="66" t="n"/>
      <c r="BR13" s="66" t="n"/>
      <c r="BS13" s="66" t="n"/>
      <c r="BT13" s="66" t="n"/>
      <c r="BU13" s="66" t="n"/>
      <c r="BV13" s="136" t="n"/>
      <c r="BX13" s="84" t="inlineStr">
        <is>
          <t>借入金元本返済</t>
        </is>
      </c>
      <c r="BY13" s="84" t="inlineStr">
        <is>
          <t>Checks</t>
        </is>
      </c>
    </row>
    <row r="14" ht="15.75" customHeight="1" s="302">
      <c r="B14" s="0" t="inlineStr">
        <is>
          <t>1.2事業方式</t>
        </is>
      </c>
      <c r="D14" s="0" t="inlineStr">
        <is>
          <t>-</t>
        </is>
      </c>
      <c r="F14" s="324" t="inlineStr">
        <is>
          <t>BT</t>
        </is>
      </c>
      <c r="Y14" s="59" t="inlineStr">
        <is>
          <t>収入</t>
        </is>
      </c>
      <c r="Z14" s="60" t="n"/>
      <c r="AA14" s="60" t="n"/>
      <c r="AB14" s="60" t="n"/>
      <c r="AC14" s="61" t="n"/>
      <c r="AD14" s="59" t="inlineStr">
        <is>
          <t>支出</t>
        </is>
      </c>
      <c r="AE14" s="60" t="n"/>
      <c r="AF14" s="60" t="n"/>
      <c r="AG14" s="60" t="n"/>
      <c r="AH14" s="60" t="n"/>
      <c r="AI14" s="325" t="n"/>
      <c r="AJ14" s="326" t="inlineStr">
        <is>
          <t>収支</t>
        </is>
      </c>
      <c r="AK14" s="96" t="n"/>
      <c r="AL14" s="327" t="n"/>
      <c r="AM14" s="328" t="inlineStr">
        <is>
          <t>収支</t>
        </is>
      </c>
      <c r="AN14" s="32" t="n"/>
      <c r="AO14" s="63" t="inlineStr">
        <is>
          <t>収入</t>
        </is>
      </c>
      <c r="AP14" s="62" t="n"/>
      <c r="AQ14" s="62" t="n"/>
      <c r="AR14" s="62" t="n"/>
      <c r="AS14" s="64" t="n"/>
      <c r="AT14" s="62" t="inlineStr">
        <is>
          <t>支出</t>
        </is>
      </c>
      <c r="AU14" s="62" t="n"/>
      <c r="AV14" s="62" t="n"/>
      <c r="AW14" s="62" t="n"/>
      <c r="AX14" s="62" t="n"/>
      <c r="AY14" s="62" t="n"/>
      <c r="AZ14" s="62" t="n"/>
      <c r="BA14" s="62" t="n"/>
      <c r="BB14" s="64" t="n"/>
      <c r="BC14" s="35" t="inlineStr">
        <is>
          <t>収支</t>
        </is>
      </c>
      <c r="BD14" s="35" t="inlineStr">
        <is>
          <t>（現在価値割引後）</t>
        </is>
      </c>
      <c r="BE14" s="33" t="n"/>
      <c r="BF14" s="19" t="n"/>
      <c r="BH14" s="65" t="inlineStr">
        <is>
          <t>収入</t>
        </is>
      </c>
      <c r="BI14" s="66" t="n"/>
      <c r="BJ14" s="66" t="n"/>
      <c r="BK14" s="66" t="n"/>
      <c r="BL14" s="66" t="n"/>
      <c r="BM14" s="66" t="n"/>
      <c r="BN14" s="67" t="n"/>
      <c r="BO14" s="65" t="inlineStr">
        <is>
          <t>支出</t>
        </is>
      </c>
      <c r="BP14" s="66" t="n"/>
      <c r="BQ14" s="66" t="n"/>
      <c r="BR14" s="66" t="n"/>
      <c r="BS14" s="66" t="n"/>
      <c r="BT14" s="66" t="n"/>
      <c r="BU14" s="67" t="n"/>
      <c r="BV14" s="44" t="inlineStr">
        <is>
          <t>収支</t>
        </is>
      </c>
      <c r="BX14" s="91" t="n"/>
      <c r="BY14" s="288" t="inlineStr">
        <is>
          <t>割賦収入＞SPC支払</t>
        </is>
      </c>
    </row>
    <row r="15" ht="32.25" customFormat="1" customHeight="1" s="242">
      <c r="N15" s="33" t="n"/>
      <c r="Y15" s="39" t="inlineStr">
        <is>
          <t>補助金</t>
        </is>
      </c>
      <c r="Z15" s="40" t="inlineStr">
        <is>
          <t>交付金</t>
        </is>
      </c>
      <c r="AA15" s="40" t="inlineStr">
        <is>
          <t>起債発行額</t>
        </is>
      </c>
      <c r="AB15" s="40" t="inlineStr">
        <is>
          <t>利用料金
収入</t>
        </is>
      </c>
      <c r="AC15" s="41" t="inlineStr">
        <is>
          <t>収入計</t>
        </is>
      </c>
      <c r="AD15" s="39" t="inlineStr">
        <is>
          <t>施設整備
費用</t>
        </is>
      </c>
      <c r="AE15" s="40" t="inlineStr">
        <is>
          <t>維持管理運営費用</t>
        </is>
      </c>
      <c r="AF15" s="40" t="inlineStr">
        <is>
          <t>その他費用</t>
        </is>
      </c>
      <c r="AG15" s="40" t="inlineStr">
        <is>
          <t>起債償還額</t>
        </is>
      </c>
      <c r="AH15" s="40" t="inlineStr">
        <is>
          <t>起債利息</t>
        </is>
      </c>
      <c r="AI15" s="329" t="inlineStr">
        <is>
          <t>支出計</t>
        </is>
      </c>
      <c r="AJ15" s="330" t="n"/>
      <c r="AK15" s="83" t="inlineStr">
        <is>
          <t>官民利払費用の差</t>
        </is>
      </c>
      <c r="AL15" s="329" t="inlineStr">
        <is>
          <t>合計</t>
        </is>
      </c>
      <c r="AM15" s="331" t="inlineStr">
        <is>
          <t>（現在価値割引後）</t>
        </is>
      </c>
      <c r="AN15" s="32" t="n"/>
      <c r="AO15" s="86" t="inlineStr">
        <is>
          <t>補助金</t>
        </is>
      </c>
      <c r="AP15" s="87" t="inlineStr">
        <is>
          <t>交付金</t>
        </is>
      </c>
      <c r="AQ15" s="87" t="inlineStr">
        <is>
          <t>起債発行額</t>
        </is>
      </c>
      <c r="AR15" s="87" t="inlineStr">
        <is>
          <t>税収</t>
        </is>
      </c>
      <c r="AS15" s="43" t="inlineStr">
        <is>
          <t>収入計</t>
        </is>
      </c>
      <c r="AT15" s="87" t="inlineStr">
        <is>
          <t>施設整備サービス対価（一括払）</t>
        </is>
      </c>
      <c r="AU15" s="87" t="inlineStr">
        <is>
          <t>施設整備サービス対価（割賦元本）</t>
        </is>
      </c>
      <c r="AV15" s="87" t="inlineStr">
        <is>
          <t>施設整備サービス対価（割賦金利）</t>
        </is>
      </c>
      <c r="AW15" s="87" t="inlineStr">
        <is>
          <t>維持管理費
サービス対価</t>
        </is>
      </c>
      <c r="AX15" s="87" t="inlineStr">
        <is>
          <t>その他費用</t>
        </is>
      </c>
      <c r="AY15" s="87" t="inlineStr">
        <is>
          <t>SPC費用</t>
        </is>
      </c>
      <c r="AZ15" s="87" t="inlineStr">
        <is>
          <t>起債償還額</t>
        </is>
      </c>
      <c r="BA15" s="87" t="inlineStr">
        <is>
          <t>起債利息</t>
        </is>
      </c>
      <c r="BB15" s="43" t="inlineStr">
        <is>
          <t>支出計</t>
        </is>
      </c>
      <c r="BC15" s="88" t="n"/>
      <c r="BD15" s="43" t="n"/>
      <c r="BE15" s="33" t="n"/>
      <c r="BF15" s="262" t="inlineStr">
        <is>
          <t>割引係数</t>
        </is>
      </c>
      <c r="BG15" s="33" t="n"/>
      <c r="BH15" s="45" t="inlineStr">
        <is>
          <t>施設整備サービス対価（一括払）</t>
        </is>
      </c>
      <c r="BI15" s="37" t="inlineStr">
        <is>
          <t>施設整備サービス対価（割賦元本）</t>
        </is>
      </c>
      <c r="BJ15" s="37" t="inlineStr">
        <is>
          <t>施設整備サービス対価（割賦金利）</t>
        </is>
      </c>
      <c r="BK15" s="37" t="inlineStr">
        <is>
          <t>維持管理費
サービス対価</t>
        </is>
      </c>
      <c r="BL15" s="37" t="inlineStr">
        <is>
          <t>SPC費用
サービス対価</t>
        </is>
      </c>
      <c r="BM15" s="37" t="inlineStr">
        <is>
          <t>利用料金
収入</t>
        </is>
      </c>
      <c r="BN15" s="38" t="inlineStr">
        <is>
          <t>収入計</t>
        </is>
      </c>
      <c r="BO15" s="37" t="inlineStr">
        <is>
          <t>施設整備費用</t>
        </is>
      </c>
      <c r="BP15" s="37" t="inlineStr">
        <is>
          <t>維持管理費</t>
        </is>
      </c>
      <c r="BQ15" s="37" t="inlineStr">
        <is>
          <t>支払利息</t>
        </is>
      </c>
      <c r="BR15" s="37" t="inlineStr">
        <is>
          <t>SPC経費</t>
        </is>
      </c>
      <c r="BS15" s="37" t="inlineStr">
        <is>
          <t>SPC当初費用
(設立費用・予備費)
費用</t>
        </is>
      </c>
      <c r="BT15" s="37" t="inlineStr">
        <is>
          <t>法人税
・公租公課</t>
        </is>
      </c>
      <c r="BU15" s="38" t="inlineStr">
        <is>
          <t>支出計</t>
        </is>
      </c>
      <c r="BV15" s="38" t="n"/>
      <c r="BW15" s="33" t="n"/>
      <c r="BX15" s="92" t="n"/>
      <c r="BY15" s="332">
        <f>IF(SUM(BY17:BY46)=0,0,1)</f>
        <v/>
      </c>
      <c r="BZ15" s="33" t="n"/>
    </row>
    <row r="16" ht="15.75" customHeight="1" s="302">
      <c r="B16" s="0" t="inlineStr">
        <is>
          <t>1.3事業期間</t>
        </is>
      </c>
      <c r="C16" s="0" t="inlineStr">
        <is>
          <t>整備期間</t>
        </is>
      </c>
      <c r="D16" s="0" t="inlineStr">
        <is>
          <t>年</t>
        </is>
      </c>
      <c r="F16" s="333" t="n">
        <v>3</v>
      </c>
      <c r="J16" s="4" t="inlineStr">
        <is>
          <t>1.3事業期間（全体）</t>
        </is>
      </c>
      <c r="N16" s="19" t="inlineStr">
        <is>
          <t>年</t>
        </is>
      </c>
      <c r="O16" s="334">
        <f>SUM(F16:F17)</f>
        <v/>
      </c>
      <c r="V16" s="104" t="inlineStr">
        <is>
          <t>リスク調整額</t>
        </is>
      </c>
      <c r="Y16" s="335" t="n"/>
      <c r="Z16" s="336" t="n"/>
      <c r="AA16" s="336" t="n"/>
      <c r="AB16" s="336" t="n"/>
      <c r="AC16" s="336" t="n"/>
      <c r="AD16" s="336" t="n"/>
      <c r="AE16" s="336" t="n"/>
      <c r="AF16" s="336" t="n"/>
      <c r="AG16" s="336" t="n"/>
      <c r="AH16" s="336" t="n"/>
      <c r="AI16" s="336" t="n"/>
      <c r="AJ16" s="336" t="n"/>
      <c r="AK16" s="337" t="n"/>
      <c r="AL16" s="338">
        <f>-SUM(BS17,SUM(BR17:BR46),O105,O110)</f>
        <v/>
      </c>
      <c r="AM16" s="338">
        <f>AL16*BF16</f>
        <v/>
      </c>
      <c r="AN16" s="337" t="n"/>
      <c r="AO16" s="339" t="n"/>
      <c r="AP16" s="336" t="n"/>
      <c r="AQ16" s="336" t="n"/>
      <c r="AR16" s="336" t="n"/>
      <c r="AS16" s="336" t="n"/>
      <c r="AT16" s="336" t="n"/>
      <c r="AU16" s="336" t="n"/>
      <c r="AV16" s="336" t="n"/>
      <c r="AW16" s="336" t="n"/>
      <c r="AX16" s="336" t="n"/>
      <c r="AY16" s="336" t="n"/>
      <c r="AZ16" s="336" t="n"/>
      <c r="BA16" s="336" t="n"/>
      <c r="BB16" s="336" t="n"/>
      <c r="BC16" s="336" t="n"/>
      <c r="BD16" s="340" t="n"/>
      <c r="BE16" s="312" t="n"/>
      <c r="BF16" s="341" t="n">
        <v>1</v>
      </c>
      <c r="BH16" s="339" t="n"/>
      <c r="BI16" s="336" t="n"/>
      <c r="BJ16" s="336" t="n"/>
      <c r="BK16" s="336" t="n"/>
      <c r="BL16" s="336" t="n"/>
      <c r="BM16" s="336" t="n"/>
      <c r="BN16" s="336" t="n"/>
      <c r="BO16" s="336" t="n"/>
      <c r="BP16" s="336" t="n"/>
      <c r="BQ16" s="336" t="n"/>
      <c r="BR16" s="336" t="n"/>
      <c r="BS16" s="336" t="n"/>
      <c r="BT16" s="336" t="n"/>
      <c r="BU16" s="336" t="n"/>
      <c r="BV16" s="336" t="n"/>
      <c r="BW16" s="342" t="n"/>
      <c r="BX16" s="343" t="n"/>
      <c r="BY16" s="283" t="n"/>
      <c r="CA16" s="0" t="n"/>
    </row>
    <row r="17" ht="15.75" customHeight="1" s="302">
      <c r="C17" s="0" t="inlineStr">
        <is>
          <t>維持管理・運営期間</t>
        </is>
      </c>
      <c r="D17" s="0" t="inlineStr">
        <is>
          <t>年</t>
        </is>
      </c>
      <c r="F17" s="333" t="n">
        <v>0</v>
      </c>
      <c r="J17" s="114" t="n"/>
      <c r="V17" s="58">
        <f>IF(W17=1,DATE(YEAR($F$18)+(MONTH($F$18)&gt;=4),4,0),EOMONTH(V15,12))</f>
        <v/>
      </c>
      <c r="W17" s="6" t="n">
        <v>1</v>
      </c>
      <c r="X17" s="6">
        <f>IF(W17&gt;$O$16,"-",IF($W17&lt;=$F$16,"整備期間","維持管理・運営期間"))</f>
        <v/>
      </c>
      <c r="Y17" s="344">
        <f>IF($W17=$F$16,$O$61,0)</f>
        <v/>
      </c>
      <c r="Z17" s="345">
        <f>IF($W17=$F$16,$O$63,0)</f>
        <v/>
      </c>
      <c r="AA17" s="345">
        <f>IF($W17=$F$16,$O$62,0)</f>
        <v/>
      </c>
      <c r="AB17" s="345">
        <f>IF(X17="維持管理・運営期間",$F$56,0)</f>
        <v/>
      </c>
      <c r="AC17" s="346">
        <f>SUM(Y17:Z17,AB17)</f>
        <v/>
      </c>
      <c r="AD17" s="344">
        <f>IF($W17=$F$16,$O$30,0)</f>
        <v/>
      </c>
      <c r="AE17" s="345">
        <f>IF($X17="維持管理・運営期間",$O$41,0)</f>
        <v/>
      </c>
      <c r="AF17" s="345">
        <f>IF(AND($W17&gt;0,$W17&lt;=$O$16),$E$45,0)</f>
        <v/>
      </c>
      <c r="AG17" s="345">
        <f>IF(AND(SUM($AA$16:AA16)&gt;0,SUM($AG$16:AG16)&lt;$O$62,$W17&gt;=$O$65),$O$64,0)</f>
        <v/>
      </c>
      <c r="AH17" s="345">
        <f>IF(SUM($AA15:$AA$17)&gt;0,($O$62-SUM($AG15:$AG$17))*$F$65,0)</f>
        <v/>
      </c>
      <c r="AI17" s="346">
        <f>SUM(AD17:AF17)</f>
        <v/>
      </c>
      <c r="AJ17" s="345">
        <f>AC17-AI17</f>
        <v/>
      </c>
      <c r="AK17" s="347" t="n"/>
      <c r="AL17" s="348" t="n"/>
      <c r="AM17" s="346">
        <f>AJ17*$BF17</f>
        <v/>
      </c>
      <c r="AN17" s="349" t="n"/>
      <c r="AO17" s="344">
        <f>IF($W17=$F$16,$P$61,0)</f>
        <v/>
      </c>
      <c r="AP17" s="345">
        <f>IF($W17=$F$16,$P$63,0)</f>
        <v/>
      </c>
      <c r="AQ17" s="345">
        <f>IF($W17=$F$16,$P$62,0)</f>
        <v/>
      </c>
      <c r="AR17" s="345">
        <f>IF($W17&lt;$O$16,IF(W17=$F$16,$U$92,$U$93),0)</f>
        <v/>
      </c>
      <c r="AS17" s="346">
        <f>SUM(AO17:AP17,AR17)</f>
        <v/>
      </c>
      <c r="AT17" s="345">
        <f>IF(W17=$F$16,$P$30,0)</f>
        <v/>
      </c>
      <c r="AU17" s="345">
        <f>IFERROR(-PPMT($P$36,W17-$F$16,$F$17,SUM(P$31,P$51)),0)</f>
        <v/>
      </c>
      <c r="AV17" s="345">
        <f>IFERROR(-IPMT($P$36,W17-$F$16,$F$17,SUM($P$31,$P$51)),0)</f>
        <v/>
      </c>
      <c r="AW17" s="345">
        <f>IF(AND(W17&gt;$F$16,W17&lt;=SUM($F$16:$F$17)),$P$43,0)</f>
        <v/>
      </c>
      <c r="AX17" s="345">
        <f>IF($W17=1,$F$44,0)+IF(AND($W17&gt;0,$W17&lt;=$O$16),$F$45,0)</f>
        <v/>
      </c>
      <c r="AY17" s="345">
        <f>IF(AND(W17&gt;$F$16,W17&lt;=SUM($F$16:$F$17)),$P$54,0)</f>
        <v/>
      </c>
      <c r="AZ17" s="345">
        <f>IF(AND(SUM($AQ$16:AQ16)&gt;0,SUM($AZ$16:AZ16)&lt;$P$62,$W17&gt;=$P$65),$P$64,0)</f>
        <v/>
      </c>
      <c r="BA17" s="345">
        <f>IF(SUM($AQ16:$AQ$17)&gt;0,($P$62-SUM($AZ16:$AZ$17))*$F$65,0)</f>
        <v/>
      </c>
      <c r="BB17" s="346">
        <f>SUM(AT17:AY17)</f>
        <v/>
      </c>
      <c r="BC17" s="345">
        <f>AS17-BB17</f>
        <v/>
      </c>
      <c r="BD17" s="346">
        <f>BC17*$BF17</f>
        <v/>
      </c>
      <c r="BE17" s="393" t="n"/>
      <c r="BF17" s="46">
        <f>1/(1+$O$22)</f>
        <v/>
      </c>
      <c r="BH17" s="350">
        <f>AT17</f>
        <v/>
      </c>
      <c r="BI17" s="350">
        <f>AU17</f>
        <v/>
      </c>
      <c r="BJ17" s="351">
        <f>AV17</f>
        <v/>
      </c>
      <c r="BK17" s="351">
        <f>AW17</f>
        <v/>
      </c>
      <c r="BL17" s="351">
        <f>AY17</f>
        <v/>
      </c>
      <c r="BM17" s="351">
        <f>IF($W17&gt;$F$16,$F$56,0)</f>
        <v/>
      </c>
      <c r="BN17" s="352">
        <f>SUM(BH17:BM17)</f>
        <v/>
      </c>
      <c r="BO17" s="351">
        <f>IF($W17=$F$16,$P$32,0)</f>
        <v/>
      </c>
      <c r="BP17" s="351">
        <f>IF(AND(W17&gt;$F$16,W17&lt;=SUM($F$16:$F$17)),$P$41,0)</f>
        <v/>
      </c>
      <c r="BQ17" s="351">
        <f>IFERROR(-IPMT($P$67,W17-$F$16,$F$17,SUM(P$31,P$51)),0)</f>
        <v/>
      </c>
      <c r="BR17" s="351">
        <f>IF($W17&lt;=$O$16,$F$105,0)</f>
        <v/>
      </c>
      <c r="BS17" s="353">
        <f>IF($W17=1,SUM($O$103,$O$105),0)</f>
        <v/>
      </c>
      <c r="BT17" s="351">
        <f>IF($W17&lt;$O$16,IF(W17=$F$16,$P$93,$P$94),0)</f>
        <v/>
      </c>
      <c r="BU17" s="352">
        <f>SUM(BO17:BP17,BR17:BT17)</f>
        <v/>
      </c>
      <c r="BV17" s="352">
        <f>BN17-BU17</f>
        <v/>
      </c>
      <c r="BW17" s="342" t="n"/>
      <c r="BX17" s="338">
        <f>IFERROR(-PPMT($P$67,$W17-$F$16,$F$17,SUM(P$31,P$51)),0)</f>
        <v/>
      </c>
      <c r="BY17" s="354" t="n"/>
      <c r="CA17" s="0" t="n"/>
    </row>
    <row r="18" ht="15.75" customHeight="1" s="302">
      <c r="C18" s="0" t="inlineStr">
        <is>
          <t>整備期間開始日</t>
        </is>
      </c>
      <c r="F18" s="68" t="n">
        <v>45383</v>
      </c>
      <c r="J18" s="114" t="n"/>
      <c r="V18" s="58">
        <f>IF(W18=1,DATE(YEAR($F$18)+(MONTH($F$18)&gt;=4),4,0),EOMONTH(V17,12))</f>
        <v/>
      </c>
      <c r="W18" s="6" t="n">
        <v>2</v>
      </c>
      <c r="X18" s="6">
        <f>IF(W18&gt;$O$16,"-",IF($W18&lt;=$F$16,"整備期間","維持管理・運営期間"))</f>
        <v/>
      </c>
      <c r="Y18" s="344">
        <f>IF($W18=$F$16,$O$61,0)</f>
        <v/>
      </c>
      <c r="Z18" s="345">
        <f>IF($W18=$F$16,$O$63,0)</f>
        <v/>
      </c>
      <c r="AA18" s="345">
        <f>IF($W18=$F$16,$O$62,0)</f>
        <v/>
      </c>
      <c r="AB18" s="345">
        <f>IF(X18="維持管理・運営期間",$F$56,0)</f>
        <v/>
      </c>
      <c r="AC18" s="346">
        <f>SUM(Y18:Z18,AB18)</f>
        <v/>
      </c>
      <c r="AD18" s="344">
        <f>IF($W18=$F$16,$O$30,0)</f>
        <v/>
      </c>
      <c r="AE18" s="345">
        <f>IF($X18="維持管理・運営期間",$O$41,0)</f>
        <v/>
      </c>
      <c r="AF18" s="345">
        <f>IF(AND($W18&gt;0,$W18&lt;=$O$16),$E$45,0)</f>
        <v/>
      </c>
      <c r="AG18" s="345">
        <f>IF(AND(SUM($AA$16:AA17)&gt;0,SUM($AG$16:AG17)&lt;$O$62,$W18&gt;=$O$65),$O$64,0)</f>
        <v/>
      </c>
      <c r="AH18" s="351">
        <f>IF(SUM($AA$17:$AA17)&gt;0,($O$62-SUM($AG$17:$AG17))*$F$65,0)</f>
        <v/>
      </c>
      <c r="AI18" s="346">
        <f>SUM(AD18:AF18)</f>
        <v/>
      </c>
      <c r="AJ18" s="351">
        <f>AC18-AI18</f>
        <v/>
      </c>
      <c r="AK18" s="347" t="n"/>
      <c r="AL18" s="348" t="n"/>
      <c r="AM18" s="352">
        <f>AJ18*$BF18</f>
        <v/>
      </c>
      <c r="AN18" s="349" t="n"/>
      <c r="AO18" s="350">
        <f>IF($W18=$F$16,$P$61,0)</f>
        <v/>
      </c>
      <c r="AP18" s="351">
        <f>IF($W18=$F$16,$P$63,0)</f>
        <v/>
      </c>
      <c r="AQ18" s="351">
        <f>IF($W18=$F$16,$P$62,0)</f>
        <v/>
      </c>
      <c r="AR18" s="345">
        <f>IF($W18&lt;$O$16,IF(W18=$F$16,$U$92,$U$93),0)</f>
        <v/>
      </c>
      <c r="AS18" s="346">
        <f>SUM(AO18:AP18,AR18)</f>
        <v/>
      </c>
      <c r="AT18" s="345">
        <f>IF(W18=$F$16,$P$30,0)</f>
        <v/>
      </c>
      <c r="AU18" s="345">
        <f>IFERROR(-PPMT($P$36,W18-$F$16,$F$17,SUM(P$31,P$51)),0)</f>
        <v/>
      </c>
      <c r="AV18" s="345">
        <f>IFERROR(-IPMT($P$36,W18-$F$16,$F$17,SUM($P$31,$P$51)),0)</f>
        <v/>
      </c>
      <c r="AW18" s="345">
        <f>IF(AND(W18&gt;$F$16,W18&lt;=SUM($F$16:$F$17)),$P$43,0)</f>
        <v/>
      </c>
      <c r="AX18" s="345">
        <f>IF($W18=1,$F$44,0)+IF(AND($W18&gt;0,$W18&lt;=$O$16),$F$45,0)</f>
        <v/>
      </c>
      <c r="AY18" s="345">
        <f>IF(AND(W18&gt;$F$16,W18&lt;=SUM($F$16:$F$17)),$P$54,0)</f>
        <v/>
      </c>
      <c r="AZ18" s="345">
        <f>IF(AND(SUM($AQ$16:AQ17)&gt;0,SUM($AZ$16:AZ17)&lt;$P$62,$W18&gt;=$P$65),$P$64,0)</f>
        <v/>
      </c>
      <c r="BA18" s="345">
        <f>IF(SUM($AQ17:$AQ$17)&gt;0,($P$62-SUM($AZ17:$AZ$17))*$F$65,0)</f>
        <v/>
      </c>
      <c r="BB18" s="346">
        <f>SUM(AT18:AY18)</f>
        <v/>
      </c>
      <c r="BC18" s="351">
        <f>AS18-BB18</f>
        <v/>
      </c>
      <c r="BD18" s="352">
        <f>BC18*$BF18</f>
        <v/>
      </c>
      <c r="BE18" s="393" t="n"/>
      <c r="BF18" s="46">
        <f>BF17/(1+$O$22)</f>
        <v/>
      </c>
      <c r="BH18" s="350">
        <f>AT18</f>
        <v/>
      </c>
      <c r="BI18" s="350">
        <f>AU18</f>
        <v/>
      </c>
      <c r="BJ18" s="351">
        <f>AV18</f>
        <v/>
      </c>
      <c r="BK18" s="351">
        <f>AW18</f>
        <v/>
      </c>
      <c r="BL18" s="351">
        <f>AY18</f>
        <v/>
      </c>
      <c r="BM18" s="351">
        <f>IF($W18&gt;$F$16,$F$56,0)</f>
        <v/>
      </c>
      <c r="BN18" s="352">
        <f>SUM(BH18:BM18)</f>
        <v/>
      </c>
      <c r="BO18" s="351">
        <f>IF($W18=$F$16,$P$32,0)</f>
        <v/>
      </c>
      <c r="BP18" s="351">
        <f>IF(AND(W18&gt;$F$16,W18&lt;=SUM($F$16:$F$17)),$P$41,0)</f>
        <v/>
      </c>
      <c r="BQ18" s="351">
        <f>IFERROR(-IPMT($P$67,W18-$F$16,$F$17,SUM(P$31,P$51)),0)</f>
        <v/>
      </c>
      <c r="BR18" s="351">
        <f>IF($W18&lt;=$O$16,$F$105,0)</f>
        <v/>
      </c>
      <c r="BS18" s="353">
        <f>IF($W18=1,SUM($O$103,$O$105),0)</f>
        <v/>
      </c>
      <c r="BT18" s="351">
        <f>IF($W18&lt;$O$16,IF(W18=$F$16,$P$93,$P$94),0)</f>
        <v/>
      </c>
      <c r="BU18" s="352">
        <f>SUM(BO18:BP18,BR18:BT18)</f>
        <v/>
      </c>
      <c r="BV18" s="352">
        <f>BN18-BU18</f>
        <v/>
      </c>
      <c r="BW18" s="342" t="n"/>
      <c r="BX18" s="338">
        <f>IFERROR(-PPMT($P$67,$W18-$F$16,$F$17,SUM(P$31,P$51)),0)</f>
        <v/>
      </c>
      <c r="BY18" s="355" t="n"/>
      <c r="CA18" s="0" t="n"/>
    </row>
    <row r="19" ht="15.75" customHeight="1" s="302">
      <c r="C19" s="0" t="inlineStr">
        <is>
          <t>整備期間終了日</t>
        </is>
      </c>
      <c r="F19" s="137">
        <f>EOMONTH(F18,12*F16-1)</f>
        <v/>
      </c>
      <c r="J19" s="114" t="n"/>
      <c r="V19" s="58">
        <f>IF(W19=1,DATE(YEAR($F$18)+(MONTH($F$18)&gt;=4),4,0),EOMONTH(V18,12))</f>
        <v/>
      </c>
      <c r="W19" s="6" t="n">
        <v>3</v>
      </c>
      <c r="X19" s="6">
        <f>IF(W19&gt;$O$16,"-",IF($W19&lt;=$F$16,"整備期間","維持管理・運営期間"))</f>
        <v/>
      </c>
      <c r="Y19" s="344">
        <f>IF($W19=$F$16,$O$61,0)</f>
        <v/>
      </c>
      <c r="Z19" s="345">
        <f>IF($W19=$F$16,$O$63,0)</f>
        <v/>
      </c>
      <c r="AA19" s="345">
        <f>IF($W19=$F$16,$O$62,0)</f>
        <v/>
      </c>
      <c r="AB19" s="345">
        <f>IF(X19="維持管理・運営期間",$F$56,0)</f>
        <v/>
      </c>
      <c r="AC19" s="346">
        <f>SUM(Y19:Z19,AB19)</f>
        <v/>
      </c>
      <c r="AD19" s="344">
        <f>IF($W19=$F$16,$O$30,0)</f>
        <v/>
      </c>
      <c r="AE19" s="345">
        <f>IF($X19="維持管理・運営期間",$O$41,0)</f>
        <v/>
      </c>
      <c r="AF19" s="345">
        <f>IF(AND($W19&gt;0,$W19&lt;=$O$16),$E$45,0)</f>
        <v/>
      </c>
      <c r="AG19" s="345">
        <f>IF(AND(SUM($AA$16:AA18)&gt;0,SUM($AG$16:AG18)&lt;$O$62,$W19&gt;=$O$65),$O$64,0)</f>
        <v/>
      </c>
      <c r="AH19" s="351">
        <f>IF(SUM($AA$17:$AA18)&gt;0,($O$62-SUM($AG$17:$AG18))*$F$65,0)</f>
        <v/>
      </c>
      <c r="AI19" s="346">
        <f>SUM(AD19:AF19)</f>
        <v/>
      </c>
      <c r="AJ19" s="351">
        <f>AC19-AI19</f>
        <v/>
      </c>
      <c r="AK19" s="347" t="n"/>
      <c r="AL19" s="348" t="n"/>
      <c r="AM19" s="352">
        <f>AJ19*$BF19</f>
        <v/>
      </c>
      <c r="AN19" s="349" t="n"/>
      <c r="AO19" s="350">
        <f>IF($W19=$F$16,$P$61,0)</f>
        <v/>
      </c>
      <c r="AP19" s="351">
        <f>IF($W19=$F$16,$P$63,0)</f>
        <v/>
      </c>
      <c r="AQ19" s="351">
        <f>IF($W19=$F$16,$P$62,0)</f>
        <v/>
      </c>
      <c r="AR19" s="345">
        <f>IF($W19&lt;$O$16,IF(W19=$F$16,$U$92,$U$93),0)</f>
        <v/>
      </c>
      <c r="AS19" s="346">
        <f>SUM(AO19:AP19,AR19)</f>
        <v/>
      </c>
      <c r="AT19" s="345">
        <f>IF(W19=$F$16,$P$30,0)</f>
        <v/>
      </c>
      <c r="AU19" s="345">
        <f>IFERROR(-PPMT($P$36,W19-$F$16,$F$17,SUM(P$31,P$51)),0)</f>
        <v/>
      </c>
      <c r="AV19" s="345">
        <f>IFERROR(-IPMT($P$36,W19-$F$16,$F$17,SUM($P$31,$P$51)),0)</f>
        <v/>
      </c>
      <c r="AW19" s="345">
        <f>IF(AND(W19&gt;$F$16,W19&lt;=SUM($F$16:$F$17)),$P$43,0)</f>
        <v/>
      </c>
      <c r="AX19" s="345">
        <f>IF($W19=1,$F$44,0)+IF(AND($W19&gt;0,$W19&lt;=$O$16),$F$45,0)</f>
        <v/>
      </c>
      <c r="AY19" s="345">
        <f>IF(AND(W19&gt;$F$16,W19&lt;=SUM($F$16:$F$17)),$P$54,0)</f>
        <v/>
      </c>
      <c r="AZ19" s="345">
        <f>IF(AND(SUM($AQ$16:AQ18)&gt;0,SUM($AZ$16:AZ18)&lt;$P$62,$W19&gt;=$P$65),$P$64,0)</f>
        <v/>
      </c>
      <c r="BA19" s="345">
        <f>IF(SUM($AQ$17:$AQ18)&gt;0,($P$62-SUM($AZ$17:$AZ18))*$F$65,0)</f>
        <v/>
      </c>
      <c r="BB19" s="346">
        <f>SUM(AT19:AY19)</f>
        <v/>
      </c>
      <c r="BC19" s="351">
        <f>AS19-BB19</f>
        <v/>
      </c>
      <c r="BD19" s="352">
        <f>BC19*$BF19</f>
        <v/>
      </c>
      <c r="BE19" s="393" t="n"/>
      <c r="BF19" s="46">
        <f>BF18/(1+$O$22)</f>
        <v/>
      </c>
      <c r="BH19" s="350">
        <f>AT19</f>
        <v/>
      </c>
      <c r="BI19" s="350">
        <f>AU19</f>
        <v/>
      </c>
      <c r="BJ19" s="351">
        <f>AV19</f>
        <v/>
      </c>
      <c r="BK19" s="351">
        <f>AW19</f>
        <v/>
      </c>
      <c r="BL19" s="351">
        <f>AY19</f>
        <v/>
      </c>
      <c r="BM19" s="351">
        <f>IF($W19&gt;$F$16,$F$56,0)</f>
        <v/>
      </c>
      <c r="BN19" s="352">
        <f>SUM(BH19:BM19)</f>
        <v/>
      </c>
      <c r="BO19" s="351">
        <f>IF($W19=$F$16,$P$32,0)</f>
        <v/>
      </c>
      <c r="BP19" s="351">
        <f>IF(AND(W19&gt;$F$16,W19&lt;=SUM($F$16:$F$17)),$P$41,0)</f>
        <v/>
      </c>
      <c r="BQ19" s="351">
        <f>IFERROR(-IPMT($P$67,W19-$F$16,$F$17,SUM(P$31,P$51)),0)</f>
        <v/>
      </c>
      <c r="BR19" s="351">
        <f>IF($W19&lt;=$O$16,$F$105,0)</f>
        <v/>
      </c>
      <c r="BS19" s="353">
        <f>IF($W19=1,SUM($O$103,$O$105),0)</f>
        <v/>
      </c>
      <c r="BT19" s="351">
        <f>IF($W19&lt;$O$16,IF(W19=$F$16,$P$93,$P$94),0)</f>
        <v/>
      </c>
      <c r="BU19" s="352">
        <f>SUM(BO19:BP19,BR19:BT19)</f>
        <v/>
      </c>
      <c r="BV19" s="352">
        <f>BN19-BU19</f>
        <v/>
      </c>
      <c r="BW19" s="342" t="n"/>
      <c r="BX19" s="338">
        <f>IFERROR(-PPMT($P$67,$W19-$F$16,$F$17,SUM(P$31,P$51)),0)</f>
        <v/>
      </c>
      <c r="BY19" s="355" t="n"/>
      <c r="CA19" s="0" t="n"/>
    </row>
    <row r="20" ht="15.75" customHeight="1" s="302">
      <c r="C20" s="0" t="inlineStr">
        <is>
          <t>維持管理運営期間開始日</t>
        </is>
      </c>
      <c r="F20" s="137">
        <f>F19+1</f>
        <v/>
      </c>
      <c r="V20" s="58">
        <f>IF(W20=1,DATE(YEAR($F$18)+(MONTH($F$18)&gt;=4),4,0),EOMONTH(V19,12))</f>
        <v/>
      </c>
      <c r="W20" s="6" t="n">
        <v>4</v>
      </c>
      <c r="X20" s="6">
        <f>IF(W20&gt;$O$16,"-",IF($W20&lt;=$F$16,"整備期間","維持管理・運営期間"))</f>
        <v/>
      </c>
      <c r="Y20" s="344">
        <f>IF($W20=$F$16,$O$61,0)</f>
        <v/>
      </c>
      <c r="Z20" s="345">
        <f>IF($W20=$F$16,$O$63,0)</f>
        <v/>
      </c>
      <c r="AA20" s="345">
        <f>IF($W20=$F$16,$O$62,0)</f>
        <v/>
      </c>
      <c r="AB20" s="345">
        <f>IF(X20="維持管理・運営期間",$F$56,0)</f>
        <v/>
      </c>
      <c r="AC20" s="346">
        <f>SUM(Y20:Z20,AB20)</f>
        <v/>
      </c>
      <c r="AD20" s="344">
        <f>IF($W20=$F$16,$O$30,0)</f>
        <v/>
      </c>
      <c r="AE20" s="345">
        <f>IF($X20="維持管理・運営期間",$O$41,0)</f>
        <v/>
      </c>
      <c r="AF20" s="345">
        <f>IF(AND($W20&gt;0,$W20&lt;=$O$16),$E$45,0)</f>
        <v/>
      </c>
      <c r="AG20" s="345">
        <f>IF(AND(SUM($AA$16:AA19)&gt;0,SUM($AG$16:AG19)&lt;$O$62,$W20&gt;=$O$65),$O$64,0)</f>
        <v/>
      </c>
      <c r="AH20" s="351">
        <f>IF(SUM($AA$17:$AA19)&gt;0,($O$62-SUM($AG$17:$AG19))*$F$65,0)</f>
        <v/>
      </c>
      <c r="AI20" s="346">
        <f>SUM(AD20:AF20)</f>
        <v/>
      </c>
      <c r="AJ20" s="351">
        <f>AC20-AI20</f>
        <v/>
      </c>
      <c r="AK20" s="338">
        <f>(SUM($P$31,$P$51)-SUM($AU$17:AU19))*$O$109</f>
        <v/>
      </c>
      <c r="AL20" s="348" t="n"/>
      <c r="AM20" s="352">
        <f>AJ20*$BF20</f>
        <v/>
      </c>
      <c r="AN20" s="349" t="n"/>
      <c r="AO20" s="350">
        <f>IF($W20=$F$16,$P$61,0)</f>
        <v/>
      </c>
      <c r="AP20" s="351">
        <f>IF($W20=$F$16,$P$63,0)</f>
        <v/>
      </c>
      <c r="AQ20" s="351">
        <f>IF($W20=$F$16,$P$62,0)</f>
        <v/>
      </c>
      <c r="AR20" s="345">
        <f>IF($W20&lt;$O$16,IF(W20=$F$16,$U$92,$U$93),0)</f>
        <v/>
      </c>
      <c r="AS20" s="346">
        <f>SUM(AO20:AP20,AR20)</f>
        <v/>
      </c>
      <c r="AT20" s="345">
        <f>IF(W20=$F$16,$P$30,0)</f>
        <v/>
      </c>
      <c r="AU20" s="345">
        <f>IFERROR(-PPMT($P$36,W20-$F$16,$F$17,SUM(P$31,P$51)),0)</f>
        <v/>
      </c>
      <c r="AV20" s="345">
        <f>IFERROR(-IPMT($P$36,W20-$F$16,$F$17,SUM($P$31,$P$51)),0)</f>
        <v/>
      </c>
      <c r="AW20" s="345">
        <f>IF(AND(W20&gt;$F$16,W20&lt;=SUM($F$16:$F$17)),$P$43,0)</f>
        <v/>
      </c>
      <c r="AX20" s="345">
        <f>IF($W20=1,$F$44,0)+IF(AND($W20&gt;0,$W20&lt;=$O$16),$F$45,0)</f>
        <v/>
      </c>
      <c r="AY20" s="345">
        <f>IF(AND(W20&gt;$F$16,W20&lt;=SUM($F$16:$F$17)),$P$54,0)</f>
        <v/>
      </c>
      <c r="AZ20" s="345">
        <f>IF(AND(SUM($AQ$16:AQ19)&gt;0,SUM($AZ$16:AZ19)&lt;$P$62,$W20&gt;=$P$65),$P$64,0)</f>
        <v/>
      </c>
      <c r="BA20" s="345">
        <f>IF(SUM($AQ$17:$AQ19)&gt;0,($P$62-SUM($AZ$17:$AZ19))*$F$65,0)</f>
        <v/>
      </c>
      <c r="BB20" s="346">
        <f>SUM(AT20:AY20)</f>
        <v/>
      </c>
      <c r="BC20" s="351">
        <f>AS20-BB20</f>
        <v/>
      </c>
      <c r="BD20" s="352">
        <f>BC20*$BF20</f>
        <v/>
      </c>
      <c r="BE20" s="393" t="n"/>
      <c r="BF20" s="46">
        <f>BF19/(1+$O$22)</f>
        <v/>
      </c>
      <c r="BH20" s="350">
        <f>AT20</f>
        <v/>
      </c>
      <c r="BI20" s="350">
        <f>AU20</f>
        <v/>
      </c>
      <c r="BJ20" s="351">
        <f>AV20</f>
        <v/>
      </c>
      <c r="BK20" s="351">
        <f>AW20</f>
        <v/>
      </c>
      <c r="BL20" s="351">
        <f>AY20</f>
        <v/>
      </c>
      <c r="BM20" s="351">
        <f>IF($W20&gt;$F$16,$F$56,0)</f>
        <v/>
      </c>
      <c r="BN20" s="352">
        <f>SUM(BH20:BM20)</f>
        <v/>
      </c>
      <c r="BO20" s="351">
        <f>IF($W20=$F$16,$P$32,0)</f>
        <v/>
      </c>
      <c r="BP20" s="351">
        <f>IF(AND(W20&gt;$F$16,W20&lt;=SUM($F$16:$F$17)),$P$41,0)</f>
        <v/>
      </c>
      <c r="BQ20" s="351">
        <f>IFERROR(-IPMT($P$67,W20-$F$16,$F$17,SUM(P$31,P$51)),0)</f>
        <v/>
      </c>
      <c r="BR20" s="351">
        <f>IF($W20&lt;=$O$16,$F$105,0)</f>
        <v/>
      </c>
      <c r="BS20" s="353">
        <f>IF($W20=1,SUM($O$103,$O$105),0)</f>
        <v/>
      </c>
      <c r="BT20" s="351">
        <f>IF($W20&lt;$O$16,IF(W20=$F$16,$P$93,$P$94),0)</f>
        <v/>
      </c>
      <c r="BU20" s="352">
        <f>SUM(BO20:BP20,BR20:BT20)</f>
        <v/>
      </c>
      <c r="BV20" s="352">
        <f>BN20-BU20</f>
        <v/>
      </c>
      <c r="BW20" s="342" t="n"/>
      <c r="BX20" s="338">
        <f>IFERROR(-PPMT($P$67,$W20-$F$16,$F$17,SUM(P$31,P$51)),0)</f>
        <v/>
      </c>
      <c r="BY20" s="356">
        <f>IF(BV20-BX20&gt;=0,0,1)</f>
        <v/>
      </c>
      <c r="CA20" s="0" t="n"/>
    </row>
    <row r="21" ht="15.75" customHeight="1" s="302">
      <c r="C21" s="0" t="inlineStr">
        <is>
          <t>維持管理運営期間終了日</t>
        </is>
      </c>
      <c r="F21" s="137">
        <f>EOMONTH(F20,12*F17-1)</f>
        <v/>
      </c>
      <c r="V21" s="58">
        <f>IF(W21=1,DATE(YEAR($F$18)+(MONTH($F$18)&gt;=4),4,0),EOMONTH(V20,12))</f>
        <v/>
      </c>
      <c r="W21" s="6" t="n">
        <v>5</v>
      </c>
      <c r="X21" s="6">
        <f>IF(W21&gt;$O$16,"-",IF($W21&lt;=$F$16,"整備期間","維持管理・運営期間"))</f>
        <v/>
      </c>
      <c r="Y21" s="344">
        <f>IF($W21=$F$16,$O$61,0)</f>
        <v/>
      </c>
      <c r="Z21" s="345">
        <f>IF($W21=$F$16,$O$63,0)</f>
        <v/>
      </c>
      <c r="AA21" s="345">
        <f>IF($W21=$F$16,$O$62,0)</f>
        <v/>
      </c>
      <c r="AB21" s="345">
        <f>IF(X21="維持管理・運営期間",$F$56,0)</f>
        <v/>
      </c>
      <c r="AC21" s="346">
        <f>SUM(Y21:Z21,AB21)</f>
        <v/>
      </c>
      <c r="AD21" s="344">
        <f>IF($W21=$F$16,$O$30,0)</f>
        <v/>
      </c>
      <c r="AE21" s="345">
        <f>IF($X21="維持管理・運営期間",$O$41,0)</f>
        <v/>
      </c>
      <c r="AF21" s="345">
        <f>IF(AND($W21&gt;0,$W21&lt;=$O$16),$E$45,0)</f>
        <v/>
      </c>
      <c r="AG21" s="345">
        <f>IF(AND(SUM($AA$16:AA20)&gt;0,SUM($AG$16:AG20)&lt;$O$62,$W21&gt;=$O$65),$O$64,0)</f>
        <v/>
      </c>
      <c r="AH21" s="351">
        <f>IF(SUM($AA$17:$AA20)&gt;0,($O$62-SUM($AG$17:$AG20))*$F$65,0)</f>
        <v/>
      </c>
      <c r="AI21" s="346">
        <f>SUM(AD21:AF21)</f>
        <v/>
      </c>
      <c r="AJ21" s="351">
        <f>AC21-AI21</f>
        <v/>
      </c>
      <c r="AK21" s="338">
        <f>(SUM($P$31,$P$51)-SUM($AU$17:AU20))*$O$109</f>
        <v/>
      </c>
      <c r="AL21" s="348" t="n"/>
      <c r="AM21" s="352">
        <f>AJ21*$BF21</f>
        <v/>
      </c>
      <c r="AN21" s="349" t="n"/>
      <c r="AO21" s="350">
        <f>IF($W21=$F$16,$P$61,0)</f>
        <v/>
      </c>
      <c r="AP21" s="351">
        <f>IF($W21=$F$16,$P$63,0)</f>
        <v/>
      </c>
      <c r="AQ21" s="351">
        <f>IF($W21=$F$16,$P$62,0)</f>
        <v/>
      </c>
      <c r="AR21" s="345">
        <f>IF($W21&lt;$O$16,IF(W21=$F$16,$U$92,$U$93),0)</f>
        <v/>
      </c>
      <c r="AS21" s="346">
        <f>SUM(AO21:AP21,AR21)</f>
        <v/>
      </c>
      <c r="AT21" s="345">
        <f>IF(W21=$F$16,$P$30,0)</f>
        <v/>
      </c>
      <c r="AU21" s="345">
        <f>IFERROR(-PPMT($P$36,W21-$F$16,$F$17,SUM(P$31,P$51)),0)</f>
        <v/>
      </c>
      <c r="AV21" s="345">
        <f>IFERROR(-IPMT($P$36,W21-$F$16,$F$17,SUM($P$31,$P$51)),0)</f>
        <v/>
      </c>
      <c r="AW21" s="345">
        <f>IF(AND(W21&gt;$F$16,W21&lt;=SUM($F$16:$F$17)),$P$43,0)</f>
        <v/>
      </c>
      <c r="AX21" s="345">
        <f>IF($W21=1,$F$44,0)+IF(AND($W21&gt;0,$W21&lt;=$O$16),$F$45,0)</f>
        <v/>
      </c>
      <c r="AY21" s="345">
        <f>IF(AND(W21&gt;$F$16,W21&lt;=SUM($F$16:$F$17)),$P$54,0)</f>
        <v/>
      </c>
      <c r="AZ21" s="345">
        <f>IF(AND(SUM($AQ$16:AQ20)&gt;0,SUM($AZ$16:AZ20)&lt;$P$62,$W21&gt;=$P$65),$P$64,0)</f>
        <v/>
      </c>
      <c r="BA21" s="345">
        <f>IF(SUM($AQ$17:$AQ20)&gt;0,($P$62-SUM($AZ$17:$AZ20))*$F$65,0)</f>
        <v/>
      </c>
      <c r="BB21" s="346">
        <f>SUM(AT21:AY21)</f>
        <v/>
      </c>
      <c r="BC21" s="351">
        <f>AS21-BB21</f>
        <v/>
      </c>
      <c r="BD21" s="352">
        <f>BC21*$BF21</f>
        <v/>
      </c>
      <c r="BE21" s="393" t="n"/>
      <c r="BF21" s="46">
        <f>BF20/(1+$O$22)</f>
        <v/>
      </c>
      <c r="BH21" s="350">
        <f>AT21</f>
        <v/>
      </c>
      <c r="BI21" s="350">
        <f>AU21</f>
        <v/>
      </c>
      <c r="BJ21" s="351">
        <f>AV21</f>
        <v/>
      </c>
      <c r="BK21" s="351">
        <f>AW21</f>
        <v/>
      </c>
      <c r="BL21" s="351">
        <f>AY21</f>
        <v/>
      </c>
      <c r="BM21" s="351">
        <f>IF($W21&gt;$F$16,$F$56,0)</f>
        <v/>
      </c>
      <c r="BN21" s="352">
        <f>SUM(BH21:BM21)</f>
        <v/>
      </c>
      <c r="BO21" s="351">
        <f>IF($W21=$F$16,$P$32,0)</f>
        <v/>
      </c>
      <c r="BP21" s="351">
        <f>IF(AND(W21&gt;$F$16,W21&lt;=SUM($F$16:$F$17)),$P$41,0)</f>
        <v/>
      </c>
      <c r="BQ21" s="351">
        <f>IFERROR(-IPMT($P$67,W21-$F$16,$F$17,SUM(P$31,P$51)),0)</f>
        <v/>
      </c>
      <c r="BR21" s="351">
        <f>IF($W21&lt;=$O$16,$F$105,0)</f>
        <v/>
      </c>
      <c r="BS21" s="353">
        <f>IF($W21=1,SUM($O$103,$O$105),0)</f>
        <v/>
      </c>
      <c r="BT21" s="351">
        <f>IF($W21&lt;$O$16,IF(W21=$F$16,$P$93,$P$94),0)</f>
        <v/>
      </c>
      <c r="BU21" s="352">
        <f>SUM(BO21:BP21,BR21:BT21)</f>
        <v/>
      </c>
      <c r="BV21" s="352">
        <f>BN21-BU21</f>
        <v/>
      </c>
      <c r="BW21" s="342" t="n"/>
      <c r="BX21" s="338">
        <f>IFERROR(-PPMT($P$67,$W21-$F$16,$F$17,SUM(P$31,P$51)),0)</f>
        <v/>
      </c>
      <c r="BY21" s="356">
        <f>IF(BV21-BX21&gt;=0,0,1)</f>
        <v/>
      </c>
      <c r="CA21" s="0" t="n"/>
    </row>
    <row r="22" ht="15.75" customHeight="1" s="302">
      <c r="B22" s="56" t="inlineStr">
        <is>
          <t>1.4割引率</t>
        </is>
      </c>
      <c r="C22" s="19" t="n"/>
      <c r="I22" s="72" t="n"/>
      <c r="J22" s="4" t="inlineStr">
        <is>
          <t>1.4割引率</t>
        </is>
      </c>
      <c r="N22" s="19" t="inlineStr">
        <is>
          <t>％</t>
        </is>
      </c>
      <c r="O22" s="36">
        <f>SUM(F23:F24)</f>
        <v/>
      </c>
      <c r="V22" s="58">
        <f>IF(W22=1,DATE(YEAR($F$18)+(MONTH($F$18)&gt;=4),4,0),EOMONTH(V21,12))</f>
        <v/>
      </c>
      <c r="W22" s="6" t="n">
        <v>6</v>
      </c>
      <c r="X22" s="6">
        <f>IF(W22&gt;$O$16,"-",IF($W22&lt;=$F$16,"整備期間","維持管理・運営期間"))</f>
        <v/>
      </c>
      <c r="Y22" s="344">
        <f>IF($W22=$F$16,$O$61,0)</f>
        <v/>
      </c>
      <c r="Z22" s="345">
        <f>IF($W22=$F$16,$O$63,0)</f>
        <v/>
      </c>
      <c r="AA22" s="345">
        <f>IF($W22=$F$16,$O$62,0)</f>
        <v/>
      </c>
      <c r="AB22" s="345">
        <f>IF(X22="維持管理・運営期間",$F$56,0)</f>
        <v/>
      </c>
      <c r="AC22" s="346">
        <f>SUM(Y22:Z22,AB22)</f>
        <v/>
      </c>
      <c r="AD22" s="344">
        <f>IF($W22=$F$16,$O$30,0)</f>
        <v/>
      </c>
      <c r="AE22" s="345">
        <f>IF($X22="維持管理・運営期間",$O$41,0)</f>
        <v/>
      </c>
      <c r="AF22" s="345">
        <f>IF(AND($W22&gt;0,$W22&lt;=$O$16),$E$45,0)</f>
        <v/>
      </c>
      <c r="AG22" s="345">
        <f>IF(AND(SUM($AA$16:AA21)&gt;0,SUM($AG$16:AG21)&lt;$O$62,$W22&gt;=$O$65),$O$64,0)</f>
        <v/>
      </c>
      <c r="AH22" s="351">
        <f>IF(SUM($AA$17:$AA21)&gt;0,($O$62-SUM($AG$17:$AG21))*$F$65,0)</f>
        <v/>
      </c>
      <c r="AI22" s="346">
        <f>SUM(AD22:AF22)</f>
        <v/>
      </c>
      <c r="AJ22" s="351">
        <f>AC22-AI22</f>
        <v/>
      </c>
      <c r="AK22" s="338">
        <f>(SUM($P$31,$P$51)-SUM($AU$17:AU21))*$O$109</f>
        <v/>
      </c>
      <c r="AL22" s="348" t="n"/>
      <c r="AM22" s="352">
        <f>AJ22*$BF22</f>
        <v/>
      </c>
      <c r="AN22" s="349" t="n"/>
      <c r="AO22" s="350">
        <f>IF($W22=$F$16,$P$61,0)</f>
        <v/>
      </c>
      <c r="AP22" s="351">
        <f>IF($W22=$F$16,$P$63,0)</f>
        <v/>
      </c>
      <c r="AQ22" s="351">
        <f>IF($W22=$F$16,$P$62,0)</f>
        <v/>
      </c>
      <c r="AR22" s="345">
        <f>IF($W22&lt;$O$16,IF(W22=$F$16,$U$92,$U$93),0)</f>
        <v/>
      </c>
      <c r="AS22" s="346">
        <f>SUM(AO22:AP22,AR22)</f>
        <v/>
      </c>
      <c r="AT22" s="345">
        <f>IF(W22=$F$16,$P$30,0)</f>
        <v/>
      </c>
      <c r="AU22" s="345">
        <f>IFERROR(-PPMT($P$36,W22-$F$16,$F$17,SUM(P$31,P$51)),0)</f>
        <v/>
      </c>
      <c r="AV22" s="345">
        <f>IFERROR(-IPMT($P$36,W22-$F$16,$F$17,SUM($P$31,$P$51)),0)</f>
        <v/>
      </c>
      <c r="AW22" s="345">
        <f>IF(AND(W22&gt;$F$16,W22&lt;=SUM($F$16:$F$17)),$P$43,0)</f>
        <v/>
      </c>
      <c r="AX22" s="345">
        <f>IF($W22=1,$F$44,0)+IF(AND($W22&gt;0,$W22&lt;=$O$16),$F$45,0)</f>
        <v/>
      </c>
      <c r="AY22" s="345">
        <f>IF(AND(W22&gt;$F$16,W22&lt;=SUM($F$16:$F$17)),$P$54,0)</f>
        <v/>
      </c>
      <c r="AZ22" s="345">
        <f>IF(AND(SUM($AQ$16:AQ21)&gt;0,SUM($AZ$16:AZ21)&lt;$P$62,$W22&gt;=$P$65),$P$64,0)</f>
        <v/>
      </c>
      <c r="BA22" s="345">
        <f>IF(SUM($AQ$17:$AQ21)&gt;0,($P$62-SUM($AZ$17:$AZ21))*$F$65,0)</f>
        <v/>
      </c>
      <c r="BB22" s="346">
        <f>SUM(AT22:AY22)</f>
        <v/>
      </c>
      <c r="BC22" s="351">
        <f>AS22-BB22</f>
        <v/>
      </c>
      <c r="BD22" s="352">
        <f>BC22*$BF22</f>
        <v/>
      </c>
      <c r="BE22" s="393" t="n"/>
      <c r="BF22" s="46">
        <f>BF21/(1+$O$22)</f>
        <v/>
      </c>
      <c r="BH22" s="350">
        <f>AT22</f>
        <v/>
      </c>
      <c r="BI22" s="350">
        <f>AU22</f>
        <v/>
      </c>
      <c r="BJ22" s="351">
        <f>AV22</f>
        <v/>
      </c>
      <c r="BK22" s="351">
        <f>AW22</f>
        <v/>
      </c>
      <c r="BL22" s="351">
        <f>AY22</f>
        <v/>
      </c>
      <c r="BM22" s="351">
        <f>IF($W22&gt;$F$16,$F$56,0)</f>
        <v/>
      </c>
      <c r="BN22" s="352">
        <f>SUM(BH22:BM22)</f>
        <v/>
      </c>
      <c r="BO22" s="351">
        <f>IF($W22=$F$16,$P$32,0)</f>
        <v/>
      </c>
      <c r="BP22" s="351">
        <f>IF(AND(W22&gt;$F$16,W22&lt;=SUM($F$16:$F$17)),$P$41,0)</f>
        <v/>
      </c>
      <c r="BQ22" s="351">
        <f>IFERROR(-IPMT($P$67,W22-$F$16,$F$17,SUM(P$31,P$51)),0)</f>
        <v/>
      </c>
      <c r="BR22" s="351">
        <f>IF($W22&lt;=$O$16,$F$105,0)</f>
        <v/>
      </c>
      <c r="BS22" s="353">
        <f>IF($W22=1,SUM($O$103,$O$105),0)</f>
        <v/>
      </c>
      <c r="BT22" s="351">
        <f>IF($W22&lt;$O$16,IF(W22=$F$16,$P$93,$P$94),0)</f>
        <v/>
      </c>
      <c r="BU22" s="352">
        <f>SUM(BO22:BP22,BR22:BT22)</f>
        <v/>
      </c>
      <c r="BV22" s="352">
        <f>BN22-BU22</f>
        <v/>
      </c>
      <c r="BW22" s="342" t="n"/>
      <c r="BX22" s="338">
        <f>IFERROR(-PPMT($P$67,$W22-$F$16,$F$17,SUM(P$31,P$51)),0)</f>
        <v/>
      </c>
      <c r="BY22" s="356">
        <f>IF(BV22-BX22&gt;=0,0,1)</f>
        <v/>
      </c>
      <c r="CA22" s="0" t="n"/>
    </row>
    <row r="23" ht="15.75" customHeight="1" s="302">
      <c r="C23" s="0" t="inlineStr">
        <is>
          <t>リスクフリーレート</t>
        </is>
      </c>
      <c r="F23" s="15" t="n">
        <v>0.0145</v>
      </c>
      <c r="H23" s="0" t="inlineStr">
        <is>
          <t>20年国債利回り</t>
        </is>
      </c>
      <c r="V23" s="58">
        <f>IF(W23=1,DATE(YEAR($F$18)+(MONTH($F$18)&gt;=4),4,0),EOMONTH(V22,12))</f>
        <v/>
      </c>
      <c r="W23" s="6" t="n">
        <v>7</v>
      </c>
      <c r="X23" s="6">
        <f>IF(W23&gt;$O$16,"-",IF($W23&lt;=$F$16,"整備期間","維持管理・運営期間"))</f>
        <v/>
      </c>
      <c r="Y23" s="344">
        <f>IF($W23=$F$16,$O$61,0)</f>
        <v/>
      </c>
      <c r="Z23" s="345">
        <f>IF($W23=$F$16,$O$63,0)</f>
        <v/>
      </c>
      <c r="AA23" s="345">
        <f>IF($W23=$F$16,$O$62,0)</f>
        <v/>
      </c>
      <c r="AB23" s="345">
        <f>IF(X23="維持管理・運営期間",$F$56,0)</f>
        <v/>
      </c>
      <c r="AC23" s="346">
        <f>SUM(Y23:Z23,AB23)</f>
        <v/>
      </c>
      <c r="AD23" s="344">
        <f>IF($W23=$F$16,$O$30,0)</f>
        <v/>
      </c>
      <c r="AE23" s="345">
        <f>IF($X23="維持管理・運営期間",$O$41,0)</f>
        <v/>
      </c>
      <c r="AF23" s="345">
        <f>IF(AND($W23&gt;0,$W23&lt;=$O$16),$E$45,0)</f>
        <v/>
      </c>
      <c r="AG23" s="345">
        <f>IF(AND(SUM($AA$16:AA22)&gt;0,SUM($AG$16:AG22)&lt;$O$62,$W23&gt;=$O$65),$O$64,0)</f>
        <v/>
      </c>
      <c r="AH23" s="351">
        <f>IF(SUM($AA$17:$AA22)&gt;0,($O$62-SUM($AG$17:$AG22))*$F$65,0)</f>
        <v/>
      </c>
      <c r="AI23" s="346">
        <f>SUM(AD23:AF23)</f>
        <v/>
      </c>
      <c r="AJ23" s="351">
        <f>AC23-AI23</f>
        <v/>
      </c>
      <c r="AK23" s="338">
        <f>(SUM($P$31,$P$51)-SUM($AU$17:AU22))*$O$109</f>
        <v/>
      </c>
      <c r="AL23" s="348" t="n"/>
      <c r="AM23" s="352">
        <f>AJ23*$BF23</f>
        <v/>
      </c>
      <c r="AN23" s="349" t="n"/>
      <c r="AO23" s="350">
        <f>IF($W23=$F$16,$P$61,0)</f>
        <v/>
      </c>
      <c r="AP23" s="351">
        <f>IF($W23=$F$16,$P$63,0)</f>
        <v/>
      </c>
      <c r="AQ23" s="351">
        <f>IF($W23=$F$16,$P$62,0)</f>
        <v/>
      </c>
      <c r="AR23" s="345">
        <f>IF($W23&lt;$O$16,IF(W23=$F$16,$U$92,$U$93),0)</f>
        <v/>
      </c>
      <c r="AS23" s="346">
        <f>SUM(AO23:AP23,AR23)</f>
        <v/>
      </c>
      <c r="AT23" s="345">
        <f>IF(W23=$F$16,$P$30,0)</f>
        <v/>
      </c>
      <c r="AU23" s="345">
        <f>IFERROR(-PPMT($P$36,W23-$F$16,$F$17,SUM(P$31,P$51)),0)</f>
        <v/>
      </c>
      <c r="AV23" s="345">
        <f>IFERROR(-IPMT($P$36,W23-$F$16,$F$17,SUM($P$31,$P$51)),0)</f>
        <v/>
      </c>
      <c r="AW23" s="345">
        <f>IF(AND(W23&gt;$F$16,W23&lt;=SUM($F$16:$F$17)),$P$43,0)</f>
        <v/>
      </c>
      <c r="AX23" s="345">
        <f>IF($W23=1,$F$44,0)+IF(AND($W23&gt;0,$W23&lt;=$O$16),$F$45,0)</f>
        <v/>
      </c>
      <c r="AY23" s="345">
        <f>IF(AND(W23&gt;$F$16,W23&lt;=SUM($F$16:$F$17)),$P$54,0)</f>
        <v/>
      </c>
      <c r="AZ23" s="345">
        <f>IF(AND(SUM($AQ$16:AQ22)&gt;0,SUM($AZ$16:AZ22)&lt;$P$62,$W23&gt;=$P$65),$P$64,0)</f>
        <v/>
      </c>
      <c r="BA23" s="345">
        <f>IF(SUM($AQ$17:$AQ22)&gt;0,($P$62-SUM($AZ$17:$AZ22))*$F$65,0)</f>
        <v/>
      </c>
      <c r="BB23" s="346">
        <f>SUM(AT23:AY23)</f>
        <v/>
      </c>
      <c r="BC23" s="351">
        <f>AS23-BB23</f>
        <v/>
      </c>
      <c r="BD23" s="352">
        <f>BC23*$BF23</f>
        <v/>
      </c>
      <c r="BE23" s="393" t="n"/>
      <c r="BF23" s="46">
        <f>BF22/(1+$O$22)</f>
        <v/>
      </c>
      <c r="BH23" s="350">
        <f>AT23</f>
        <v/>
      </c>
      <c r="BI23" s="350">
        <f>AU23</f>
        <v/>
      </c>
      <c r="BJ23" s="351">
        <f>AV23</f>
        <v/>
      </c>
      <c r="BK23" s="351">
        <f>AW23</f>
        <v/>
      </c>
      <c r="BL23" s="351">
        <f>AY23</f>
        <v/>
      </c>
      <c r="BM23" s="351">
        <f>IF($W23&gt;$F$16,$F$56,0)</f>
        <v/>
      </c>
      <c r="BN23" s="352">
        <f>SUM(BH23:BM23)</f>
        <v/>
      </c>
      <c r="BO23" s="351">
        <f>IF($W23=$F$16,$P$32,0)</f>
        <v/>
      </c>
      <c r="BP23" s="351">
        <f>IF(AND(W23&gt;$F$16,W23&lt;=SUM($F$16:$F$17)),$P$41,0)</f>
        <v/>
      </c>
      <c r="BQ23" s="351">
        <f>IFERROR(-IPMT($P$67,W23-$F$16,$F$17,SUM(P$31,P$51)),0)</f>
        <v/>
      </c>
      <c r="BR23" s="351">
        <f>IF($W23&lt;=$O$16,$F$105,0)</f>
        <v/>
      </c>
      <c r="BS23" s="353">
        <f>IF($W23=1,SUM($O$103,$O$105),0)</f>
        <v/>
      </c>
      <c r="BT23" s="351">
        <f>IF($W23&lt;$O$16,IF(W23=$F$16,$P$93,$P$94),0)</f>
        <v/>
      </c>
      <c r="BU23" s="352">
        <f>SUM(BO23:BP23,BR23:BT23)</f>
        <v/>
      </c>
      <c r="BV23" s="352">
        <f>BN23-BU23</f>
        <v/>
      </c>
      <c r="BW23" s="342" t="n"/>
      <c r="BX23" s="338">
        <f>IFERROR(-PPMT($P$67,$W23-$F$16,$F$17,SUM(P$31,P$51)),0)</f>
        <v/>
      </c>
      <c r="BY23" s="356">
        <f>IF(BV23-BX23&gt;=0,0,1)</f>
        <v/>
      </c>
      <c r="CA23" s="0" t="n"/>
    </row>
    <row r="24" ht="15.75" customHeight="1" s="302">
      <c r="C24" s="0" t="inlineStr">
        <is>
          <t>物価上昇率</t>
        </is>
      </c>
      <c r="F24" s="357">
        <f>事業費用概算!J34</f>
        <v/>
      </c>
      <c r="V24" s="58">
        <f>IF(W24=1,DATE(YEAR($F$18)+(MONTH($F$18)&gt;=4),4,0),EOMONTH(V23,12))</f>
        <v/>
      </c>
      <c r="W24" s="6" t="n">
        <v>8</v>
      </c>
      <c r="X24" s="6">
        <f>IF(W24&gt;$O$16,"-",IF($W24&lt;=$F$16,"整備期間","維持管理・運営期間"))</f>
        <v/>
      </c>
      <c r="Y24" s="344">
        <f>IF($W24=$F$16,$O$61,0)</f>
        <v/>
      </c>
      <c r="Z24" s="345">
        <f>IF($W24=$F$16,$O$63,0)</f>
        <v/>
      </c>
      <c r="AA24" s="345">
        <f>IF($W24=$F$16,$O$62,0)</f>
        <v/>
      </c>
      <c r="AB24" s="345">
        <f>IF(X24="維持管理・運営期間",$F$56,0)</f>
        <v/>
      </c>
      <c r="AC24" s="346">
        <f>SUM(Y24:Z24,AB24)</f>
        <v/>
      </c>
      <c r="AD24" s="344">
        <f>IF($W24=$F$16,$O$30,0)</f>
        <v/>
      </c>
      <c r="AE24" s="345">
        <f>IF($X24="維持管理・運営期間",$O$41,0)</f>
        <v/>
      </c>
      <c r="AF24" s="345">
        <f>IF(AND($W24&gt;0,$W24&lt;=$O$16),$E$45,0)</f>
        <v/>
      </c>
      <c r="AG24" s="345">
        <f>IF(AND(SUM($AA$16:AA23)&gt;0,SUM($AG$16:AG23)&lt;$O$62,$W24&gt;=$O$65),$O$64,0)</f>
        <v/>
      </c>
      <c r="AH24" s="351">
        <f>IF(SUM($AA$17:$AA23)&gt;0,($O$62-SUM($AG$17:$AG23))*$F$65,0)</f>
        <v/>
      </c>
      <c r="AI24" s="346">
        <f>SUM(AD24:AF24)</f>
        <v/>
      </c>
      <c r="AJ24" s="351">
        <f>AC24-AI24</f>
        <v/>
      </c>
      <c r="AK24" s="338">
        <f>(SUM($P$31,$P$51)-SUM($AU$17:AU23))*$O$109</f>
        <v/>
      </c>
      <c r="AL24" s="348" t="n"/>
      <c r="AM24" s="352">
        <f>AJ24*$BF24</f>
        <v/>
      </c>
      <c r="AN24" s="349" t="n"/>
      <c r="AO24" s="350">
        <f>IF($W24=$F$16,$P$61,0)</f>
        <v/>
      </c>
      <c r="AP24" s="351">
        <f>IF($W24=$F$16,$P$63,0)</f>
        <v/>
      </c>
      <c r="AQ24" s="351">
        <f>IF($W24=$F$16,$P$62,0)</f>
        <v/>
      </c>
      <c r="AR24" s="345">
        <f>IF($W24&lt;$O$16,IF(W24=$F$16,$U$92,$U$93),0)</f>
        <v/>
      </c>
      <c r="AS24" s="346">
        <f>SUM(AO24:AP24,AR24)</f>
        <v/>
      </c>
      <c r="AT24" s="345">
        <f>IF(W24=$F$16,$P$30,0)</f>
        <v/>
      </c>
      <c r="AU24" s="345">
        <f>IFERROR(-PPMT($P$36,W24-$F$16,$F$17,SUM(P$31,P$51)),0)</f>
        <v/>
      </c>
      <c r="AV24" s="345">
        <f>IFERROR(-IPMT($P$36,W24-$F$16,$F$17,SUM($P$31,$P$51)),0)</f>
        <v/>
      </c>
      <c r="AW24" s="345">
        <f>IF(AND(W24&gt;$F$16,W24&lt;=SUM($F$16:$F$17)),$P$43,0)</f>
        <v/>
      </c>
      <c r="AX24" s="345">
        <f>IF($W24=1,$F$44,0)+IF(AND($W24&gt;0,$W24&lt;=$O$16),$F$45,0)</f>
        <v/>
      </c>
      <c r="AY24" s="345">
        <f>IF(AND(W24&gt;$F$16,W24&lt;=SUM($F$16:$F$17)),$P$54,0)</f>
        <v/>
      </c>
      <c r="AZ24" s="345">
        <f>IF(AND(SUM($AQ$16:AQ23)&gt;0,SUM($AZ$16:AZ23)&lt;$P$62,$W24&gt;=$P$65),$P$64,0)</f>
        <v/>
      </c>
      <c r="BA24" s="345">
        <f>IF(SUM($AQ$17:$AQ23)&gt;0,($P$62-SUM($AZ$17:$AZ23))*$F$65,0)</f>
        <v/>
      </c>
      <c r="BB24" s="346">
        <f>SUM(AT24:AY24)</f>
        <v/>
      </c>
      <c r="BC24" s="351">
        <f>AS24-BB24</f>
        <v/>
      </c>
      <c r="BD24" s="352">
        <f>BC24*$BF24</f>
        <v/>
      </c>
      <c r="BE24" s="393" t="n"/>
      <c r="BF24" s="46">
        <f>BF23/(1+$O$22)</f>
        <v/>
      </c>
      <c r="BH24" s="350">
        <f>AT24</f>
        <v/>
      </c>
      <c r="BI24" s="350">
        <f>AU24</f>
        <v/>
      </c>
      <c r="BJ24" s="351">
        <f>AV24</f>
        <v/>
      </c>
      <c r="BK24" s="351">
        <f>AW24</f>
        <v/>
      </c>
      <c r="BL24" s="351">
        <f>AY24</f>
        <v/>
      </c>
      <c r="BM24" s="351">
        <f>IF($W24&gt;$F$16,$F$56,0)</f>
        <v/>
      </c>
      <c r="BN24" s="352">
        <f>SUM(BH24:BM24)</f>
        <v/>
      </c>
      <c r="BO24" s="351">
        <f>IF($W24=$F$16,$P$32,0)</f>
        <v/>
      </c>
      <c r="BP24" s="351">
        <f>IF(AND(W24&gt;$F$16,W24&lt;=SUM($F$16:$F$17)),$P$41,0)</f>
        <v/>
      </c>
      <c r="BQ24" s="351">
        <f>IFERROR(-IPMT($P$67,W24-$F$16,$F$17,SUM(P$31,P$51)),0)</f>
        <v/>
      </c>
      <c r="BR24" s="351">
        <f>IF($W24&lt;=$O$16,$F$105,0)</f>
        <v/>
      </c>
      <c r="BS24" s="353">
        <f>IF($W24=1,SUM($O$103,$O$105),0)</f>
        <v/>
      </c>
      <c r="BT24" s="351">
        <f>IF($W24&lt;$O$16,IF(W24=$F$16,$P$93,$P$94),0)</f>
        <v/>
      </c>
      <c r="BU24" s="352">
        <f>SUM(BO24:BP24,BR24:BT24)</f>
        <v/>
      </c>
      <c r="BV24" s="352">
        <f>BN24-BU24</f>
        <v/>
      </c>
      <c r="BW24" s="342" t="n"/>
      <c r="BX24" s="338">
        <f>IFERROR(-PPMT($P$67,$W24-$F$16,$F$17,SUM(P$31,P$51)),0)</f>
        <v/>
      </c>
      <c r="BY24" s="356">
        <f>IF(BV24-BX24&gt;=0,0,1)</f>
        <v/>
      </c>
      <c r="CA24" s="0" t="n"/>
    </row>
    <row r="25" ht="15.75" customHeight="1" s="302">
      <c r="V25" s="58">
        <f>IF(W25=1,DATE(YEAR($F$18)+(MONTH($F$18)&gt;=4),4,0),EOMONTH(V24,12))</f>
        <v/>
      </c>
      <c r="W25" s="6" t="n">
        <v>9</v>
      </c>
      <c r="X25" s="6">
        <f>IF(W25&gt;$O$16,"-",IF($W25&lt;=$F$16,"整備期間","維持管理・運営期間"))</f>
        <v/>
      </c>
      <c r="Y25" s="344">
        <f>IF($W25=$F$16,$O$61,0)</f>
        <v/>
      </c>
      <c r="Z25" s="345">
        <f>IF($W25=$F$16,$O$63,0)</f>
        <v/>
      </c>
      <c r="AA25" s="345">
        <f>IF($W25=$F$16,$O$62,0)</f>
        <v/>
      </c>
      <c r="AB25" s="345">
        <f>IF(X25="維持管理・運営期間",$F$56,0)</f>
        <v/>
      </c>
      <c r="AC25" s="346">
        <f>SUM(Y25:Z25,AB25)</f>
        <v/>
      </c>
      <c r="AD25" s="344">
        <f>IF($W25=$F$16,$O$30,0)</f>
        <v/>
      </c>
      <c r="AE25" s="345">
        <f>IF($X25="維持管理・運営期間",$O$41,0)</f>
        <v/>
      </c>
      <c r="AF25" s="345">
        <f>IF(AND($W25&gt;0,$W25&lt;=$O$16),$E$45,0)</f>
        <v/>
      </c>
      <c r="AG25" s="345">
        <f>IF(AND(SUM($AA$16:AA24)&gt;0,SUM($AG$16:AG24)&lt;$O$62,$W25&gt;=$O$65),$O$64,0)</f>
        <v/>
      </c>
      <c r="AH25" s="351">
        <f>IF(SUM($AA$17:$AA24)&gt;0,($O$62-SUM($AG$17:$AG24))*$F$65,0)</f>
        <v/>
      </c>
      <c r="AI25" s="346">
        <f>SUM(AD25:AF25)</f>
        <v/>
      </c>
      <c r="AJ25" s="351">
        <f>AC25-AI25</f>
        <v/>
      </c>
      <c r="AK25" s="338">
        <f>(SUM($P$31,$P$51)-SUM($AU$17:AU24))*$O$109</f>
        <v/>
      </c>
      <c r="AL25" s="348" t="n"/>
      <c r="AM25" s="352">
        <f>AJ25*$BF25</f>
        <v/>
      </c>
      <c r="AN25" s="349" t="n"/>
      <c r="AO25" s="350">
        <f>IF($W25=$F$16,$P$61,0)</f>
        <v/>
      </c>
      <c r="AP25" s="351">
        <f>IF($W25=$F$16,$P$63,0)</f>
        <v/>
      </c>
      <c r="AQ25" s="351">
        <f>IF($W25=$F$16,$P$62,0)</f>
        <v/>
      </c>
      <c r="AR25" s="345">
        <f>IF($W25&lt;$O$16,IF(W25=$F$16,$U$92,$U$93),0)</f>
        <v/>
      </c>
      <c r="AS25" s="346">
        <f>SUM(AO25:AP25,AR25)</f>
        <v/>
      </c>
      <c r="AT25" s="345">
        <f>IF(W25=$F$16,$P$30,0)</f>
        <v/>
      </c>
      <c r="AU25" s="345">
        <f>IFERROR(-PPMT($P$36,W25-$F$16,$F$17,SUM(P$31,P$51)),0)</f>
        <v/>
      </c>
      <c r="AV25" s="345">
        <f>IFERROR(-IPMT($P$36,W25-$F$16,$F$17,SUM($P$31,$P$51)),0)</f>
        <v/>
      </c>
      <c r="AW25" s="345">
        <f>IF(AND(W25&gt;$F$16,W25&lt;=SUM($F$16:$F$17)),$P$43,0)</f>
        <v/>
      </c>
      <c r="AX25" s="345">
        <f>IF($W25=1,$F$44,0)+IF(AND($W25&gt;0,$W25&lt;=$O$16),$F$45,0)</f>
        <v/>
      </c>
      <c r="AY25" s="345">
        <f>IF(AND(W25&gt;$F$16,W25&lt;=SUM($F$16:$F$17)),$P$54,0)</f>
        <v/>
      </c>
      <c r="AZ25" s="345">
        <f>IF(AND(SUM($AQ$16:AQ24)&gt;0,SUM($AZ$16:AZ24)&lt;$P$62,$W25&gt;=$P$65),$P$64,0)</f>
        <v/>
      </c>
      <c r="BA25" s="345">
        <f>IF(SUM($AQ$17:$AQ24)&gt;0,($P$62-SUM($AZ$17:$AZ24))*$F$65,0)</f>
        <v/>
      </c>
      <c r="BB25" s="346">
        <f>SUM(AT25:AY25)</f>
        <v/>
      </c>
      <c r="BC25" s="351">
        <f>AS25-BB25</f>
        <v/>
      </c>
      <c r="BD25" s="352">
        <f>BC25*$BF25</f>
        <v/>
      </c>
      <c r="BE25" s="393" t="n"/>
      <c r="BF25" s="46">
        <f>BF24/(1+$O$22)</f>
        <v/>
      </c>
      <c r="BH25" s="350">
        <f>AT25</f>
        <v/>
      </c>
      <c r="BI25" s="350">
        <f>AU25</f>
        <v/>
      </c>
      <c r="BJ25" s="351">
        <f>AV25</f>
        <v/>
      </c>
      <c r="BK25" s="351">
        <f>AW25</f>
        <v/>
      </c>
      <c r="BL25" s="351">
        <f>AY25</f>
        <v/>
      </c>
      <c r="BM25" s="351">
        <f>IF($W25&gt;$F$16,$F$56,0)</f>
        <v/>
      </c>
      <c r="BN25" s="352">
        <f>SUM(BH25:BM25)</f>
        <v/>
      </c>
      <c r="BO25" s="351">
        <f>IF($W25=$F$16,$P$32,0)</f>
        <v/>
      </c>
      <c r="BP25" s="351">
        <f>IF(AND(W25&gt;$F$16,W25&lt;=SUM($F$16:$F$17)),$P$41,0)</f>
        <v/>
      </c>
      <c r="BQ25" s="351">
        <f>IFERROR(-IPMT($P$67,W25-$F$16,$F$17,SUM(P$31,P$51)),0)</f>
        <v/>
      </c>
      <c r="BR25" s="351">
        <f>IF($W25&lt;=$O$16,$F$105,0)</f>
        <v/>
      </c>
      <c r="BS25" s="353">
        <f>IF($W25=1,SUM($O$103,$O$105),0)</f>
        <v/>
      </c>
      <c r="BT25" s="351">
        <f>IF($W25&lt;$O$16,IF(W25=$F$16,$P$93,$P$94),0)</f>
        <v/>
      </c>
      <c r="BU25" s="352">
        <f>SUM(BO25:BP25,BR25:BT25)</f>
        <v/>
      </c>
      <c r="BV25" s="352">
        <f>BN25-BU25</f>
        <v/>
      </c>
      <c r="BW25" s="342" t="n"/>
      <c r="BX25" s="338">
        <f>IFERROR(-PPMT($P$67,$W25-$F$16,$F$17,SUM(P$31,P$51)),0)</f>
        <v/>
      </c>
      <c r="BY25" s="356">
        <f>IF(BV25-BX25&gt;=0,0,1)</f>
        <v/>
      </c>
      <c r="CA25" s="0" t="n"/>
    </row>
    <row r="26" ht="13.5" customHeight="1" s="302">
      <c r="V26" s="58">
        <f>IF(W26=1,DATE(YEAR($F$18)+(MONTH($F$18)&gt;=4),4,0),EOMONTH(V25,12))</f>
        <v/>
      </c>
      <c r="W26" s="6" t="n">
        <v>10</v>
      </c>
      <c r="X26" s="6">
        <f>IF(W26&gt;$O$16,"-",IF($W26&lt;=$F$16,"整備期間","維持管理・運営期間"))</f>
        <v/>
      </c>
      <c r="Y26" s="344">
        <f>IF($W26=$F$16,$O$61,0)</f>
        <v/>
      </c>
      <c r="Z26" s="345">
        <f>IF($W26=$F$16,$O$63,0)</f>
        <v/>
      </c>
      <c r="AA26" s="345">
        <f>IF($W26=$F$16,$O$62,0)</f>
        <v/>
      </c>
      <c r="AB26" s="345">
        <f>IF(X26="維持管理・運営期間",$F$56,0)</f>
        <v/>
      </c>
      <c r="AC26" s="346">
        <f>SUM(Y26:Z26,AB26)</f>
        <v/>
      </c>
      <c r="AD26" s="344">
        <f>IF($W26=$F$16,$O$30,0)</f>
        <v/>
      </c>
      <c r="AE26" s="345">
        <f>IF($X26="維持管理・運営期間",$O$41,0)</f>
        <v/>
      </c>
      <c r="AF26" s="345">
        <f>IF(AND($W26&gt;0,$W26&lt;=$O$16),$E$45,0)</f>
        <v/>
      </c>
      <c r="AG26" s="345">
        <f>IF(AND(SUM($AA$16:AA25)&gt;0,SUM($AG$16:AG25)&lt;$O$62,$W26&gt;=$O$65),$O$64,0)</f>
        <v/>
      </c>
      <c r="AH26" s="351">
        <f>IF(SUM($AA$17:$AA25)&gt;0,($O$62-SUM($AG$17:$AG25))*$F$65,0)</f>
        <v/>
      </c>
      <c r="AI26" s="346">
        <f>SUM(AD26:AF26)</f>
        <v/>
      </c>
      <c r="AJ26" s="351">
        <f>AC26-AI26</f>
        <v/>
      </c>
      <c r="AK26" s="338">
        <f>(SUM($P$31,$P$51)-SUM($AU$17:AU25))*$O$109</f>
        <v/>
      </c>
      <c r="AL26" s="348" t="n"/>
      <c r="AM26" s="352">
        <f>AJ26*$BF26</f>
        <v/>
      </c>
      <c r="AN26" s="349" t="n"/>
      <c r="AO26" s="350">
        <f>IF($W26=$F$16,$P$61,0)</f>
        <v/>
      </c>
      <c r="AP26" s="351">
        <f>IF($W26=$F$16,$P$63,0)</f>
        <v/>
      </c>
      <c r="AQ26" s="351">
        <f>IF($W26=$F$16,$P$62,0)</f>
        <v/>
      </c>
      <c r="AR26" s="345">
        <f>IF($W26&lt;$O$16,IF(W26=$F$16,$U$92,$U$93),0)</f>
        <v/>
      </c>
      <c r="AS26" s="346">
        <f>SUM(AO26:AP26,AR26)</f>
        <v/>
      </c>
      <c r="AT26" s="345">
        <f>IF(W26=$F$16,$P$30,0)</f>
        <v/>
      </c>
      <c r="AU26" s="345">
        <f>IFERROR(-PPMT($P$36,W26-$F$16,$F$17,SUM(P$31,P$51)),0)</f>
        <v/>
      </c>
      <c r="AV26" s="345">
        <f>IFERROR(-IPMT($P$36,W26-$F$16,$F$17,SUM($P$31,$P$51)),0)</f>
        <v/>
      </c>
      <c r="AW26" s="345">
        <f>IF(AND(W26&gt;$F$16,W26&lt;=SUM($F$16:$F$17)),$P$43,0)</f>
        <v/>
      </c>
      <c r="AX26" s="345">
        <f>IF($W26=1,$F$44,0)+IF(AND($W26&gt;0,$W26&lt;=$O$16),$F$45,0)</f>
        <v/>
      </c>
      <c r="AY26" s="345">
        <f>IF(AND(W26&gt;$F$16,W26&lt;=SUM($F$16:$F$17)),$P$54,0)</f>
        <v/>
      </c>
      <c r="AZ26" s="345">
        <f>IF(AND(SUM($AQ$16:AQ25)&gt;0,SUM($AZ$16:AZ25)&lt;$P$62,$W26&gt;=$P$65),$P$64,0)</f>
        <v/>
      </c>
      <c r="BA26" s="345">
        <f>IF(SUM($AQ$17:$AQ25)&gt;0,($P$62-SUM($AZ$17:$AZ25))*$F$65,0)</f>
        <v/>
      </c>
      <c r="BB26" s="346">
        <f>SUM(AT26:AY26)</f>
        <v/>
      </c>
      <c r="BC26" s="351">
        <f>AS26-BB26</f>
        <v/>
      </c>
      <c r="BD26" s="352">
        <f>BC26*$BF26</f>
        <v/>
      </c>
      <c r="BE26" s="393" t="n"/>
      <c r="BF26" s="46">
        <f>BF25/(1+$O$22)</f>
        <v/>
      </c>
      <c r="BH26" s="350">
        <f>AT26</f>
        <v/>
      </c>
      <c r="BI26" s="350">
        <f>AU26</f>
        <v/>
      </c>
      <c r="BJ26" s="351">
        <f>AV26</f>
        <v/>
      </c>
      <c r="BK26" s="351">
        <f>AW26</f>
        <v/>
      </c>
      <c r="BL26" s="351">
        <f>AY26</f>
        <v/>
      </c>
      <c r="BM26" s="351">
        <f>IF($W26&gt;$F$16,$F$56,0)</f>
        <v/>
      </c>
      <c r="BN26" s="352">
        <f>SUM(BH26:BM26)</f>
        <v/>
      </c>
      <c r="BO26" s="351">
        <f>IF($W26=$F$16,$P$32,0)</f>
        <v/>
      </c>
      <c r="BP26" s="351">
        <f>IF(AND(W26&gt;$F$16,W26&lt;=SUM($F$16:$F$17)),$P$41,0)</f>
        <v/>
      </c>
      <c r="BQ26" s="351">
        <f>IFERROR(-IPMT($P$67,W26-$F$16,$F$17,SUM(P$31,P$51)),0)</f>
        <v/>
      </c>
      <c r="BR26" s="351">
        <f>IF($W26&lt;=$O$16,$F$105,0)</f>
        <v/>
      </c>
      <c r="BS26" s="353">
        <f>IF($W26=1,SUM($O$103,$O$105),0)</f>
        <v/>
      </c>
      <c r="BT26" s="351">
        <f>IF($W26&lt;$O$16,IF(W26=$F$16,$P$93,$P$94),0)</f>
        <v/>
      </c>
      <c r="BU26" s="352">
        <f>SUM(BO26:BP26,BR26:BT26)</f>
        <v/>
      </c>
      <c r="BV26" s="352">
        <f>BN26-BU26</f>
        <v/>
      </c>
      <c r="BW26" s="342" t="n"/>
      <c r="BX26" s="338">
        <f>IFERROR(-PPMT($P$67,$W26-$F$16,$F$17,SUM(P$31,P$51)),0)</f>
        <v/>
      </c>
      <c r="BY26" s="356">
        <f>IF(BV26-BX26&gt;=0,0,1)</f>
        <v/>
      </c>
      <c r="CA26" s="0" t="n"/>
    </row>
    <row r="27" ht="15.75" customHeight="1" s="302">
      <c r="A27" s="4" t="inlineStr">
        <is>
          <t>2．事業にかかる費用</t>
        </is>
      </c>
      <c r="H27" s="72" t="n"/>
      <c r="I27" s="72" t="n"/>
      <c r="J27" s="4" t="inlineStr">
        <is>
          <t>２．事業にかかる費用</t>
        </is>
      </c>
      <c r="V27" s="58">
        <f>IF(W27=1,DATE(YEAR($F$18)+(MONTH($F$18)&gt;=4),4,0),EOMONTH(V26,12))</f>
        <v/>
      </c>
      <c r="W27" s="6" t="n">
        <v>11</v>
      </c>
      <c r="X27" s="6">
        <f>IF(W27&gt;$O$16,"-",IF($W27&lt;=$F$16,"整備期間","維持管理・運営期間"))</f>
        <v/>
      </c>
      <c r="Y27" s="344">
        <f>IF($W27=$F$16,$O$61,0)</f>
        <v/>
      </c>
      <c r="Z27" s="345">
        <f>IF($W27=$F$16,$O$63,0)</f>
        <v/>
      </c>
      <c r="AA27" s="345">
        <f>IF($W27=$F$16,$O$62,0)</f>
        <v/>
      </c>
      <c r="AB27" s="345">
        <f>IF(X27="維持管理・運営期間",$F$56,0)</f>
        <v/>
      </c>
      <c r="AC27" s="346">
        <f>SUM(Y27:Z27,AB27)</f>
        <v/>
      </c>
      <c r="AD27" s="344">
        <f>IF($W27=$F$16,$O$30,0)</f>
        <v/>
      </c>
      <c r="AE27" s="345">
        <f>IF($X27="維持管理・運営期間",$O$41,0)</f>
        <v/>
      </c>
      <c r="AF27" s="345">
        <f>IF(AND($W27&gt;0,$W27&lt;=$O$16),$E$45,0)</f>
        <v/>
      </c>
      <c r="AG27" s="345">
        <f>IF(AND(SUM($AA$16:AA26)&gt;0,SUM($AG$16:AG26)&lt;$O$62,$W27&gt;=$O$65),$O$64,0)</f>
        <v/>
      </c>
      <c r="AH27" s="351">
        <f>IF(SUM($AA$17:$AA26)&gt;0,($O$62-SUM($AG$17:$AG26))*$F$65,0)</f>
        <v/>
      </c>
      <c r="AI27" s="346">
        <f>SUM(AD27:AF27)</f>
        <v/>
      </c>
      <c r="AJ27" s="351">
        <f>AC27-AI27</f>
        <v/>
      </c>
      <c r="AK27" s="338">
        <f>(SUM($P$31,$P$51)-SUM($AU$17:AU26))*$O$109</f>
        <v/>
      </c>
      <c r="AL27" s="348" t="n"/>
      <c r="AM27" s="352">
        <f>AJ27*$BF27</f>
        <v/>
      </c>
      <c r="AN27" s="349" t="n"/>
      <c r="AO27" s="350">
        <f>IF($W27=$F$16,$P$61,0)</f>
        <v/>
      </c>
      <c r="AP27" s="351">
        <f>IF($W27=$F$16,$P$63,0)</f>
        <v/>
      </c>
      <c r="AQ27" s="351">
        <f>IF($W27=$F$16,$P$62,0)</f>
        <v/>
      </c>
      <c r="AR27" s="345">
        <f>IF($W27&lt;$O$16,IF(W27=$F$16,$U$92,$U$93),0)</f>
        <v/>
      </c>
      <c r="AS27" s="346">
        <f>SUM(AO27:AP27,AR27)</f>
        <v/>
      </c>
      <c r="AT27" s="345">
        <f>IF(W27=$F$16,$P$30,0)</f>
        <v/>
      </c>
      <c r="AU27" s="345">
        <f>IFERROR(-PPMT($P$36,W27-$F$16,$F$17,SUM(P$31,P$51)),0)</f>
        <v/>
      </c>
      <c r="AV27" s="345">
        <f>IFERROR(-IPMT($P$36,W27-$F$16,$F$17,SUM($P$31,$P$51)),0)</f>
        <v/>
      </c>
      <c r="AW27" s="345">
        <f>IF(AND(W27&gt;$F$16,W27&lt;=SUM($F$16:$F$17)),$P$43,0)</f>
        <v/>
      </c>
      <c r="AX27" s="345">
        <f>IF($W27=1,$F$44,0)+IF(AND($W27&gt;0,$W27&lt;=$O$16),$F$45,0)</f>
        <v/>
      </c>
      <c r="AY27" s="345">
        <f>IF(AND(W27&gt;$F$16,W27&lt;=SUM($F$16:$F$17)),$P$54,0)</f>
        <v/>
      </c>
      <c r="AZ27" s="345">
        <f>IF(AND(SUM($AQ$16:AQ26)&gt;0,SUM($AZ$16:AZ26)&lt;$P$62,$W27&gt;=$P$65),$P$64,0)</f>
        <v/>
      </c>
      <c r="BA27" s="345">
        <f>IF(SUM($AQ$17:$AQ26)&gt;0,($P$62-SUM($AZ$17:$AZ26))*$F$65,0)</f>
        <v/>
      </c>
      <c r="BB27" s="346">
        <f>SUM(AT27:AY27)</f>
        <v/>
      </c>
      <c r="BC27" s="351">
        <f>AS27-BB27</f>
        <v/>
      </c>
      <c r="BD27" s="352">
        <f>BC27*$BF27</f>
        <v/>
      </c>
      <c r="BE27" s="393" t="n"/>
      <c r="BF27" s="46">
        <f>BF26/(1+$O$22)</f>
        <v/>
      </c>
      <c r="BH27" s="350">
        <f>AT27</f>
        <v/>
      </c>
      <c r="BI27" s="350">
        <f>AU27</f>
        <v/>
      </c>
      <c r="BJ27" s="351">
        <f>AV27</f>
        <v/>
      </c>
      <c r="BK27" s="351">
        <f>AW27</f>
        <v/>
      </c>
      <c r="BL27" s="351">
        <f>AY27</f>
        <v/>
      </c>
      <c r="BM27" s="351">
        <f>IF($W27&gt;$F$16,$F$56,0)</f>
        <v/>
      </c>
      <c r="BN27" s="352">
        <f>SUM(BH27:BM27)</f>
        <v/>
      </c>
      <c r="BO27" s="351">
        <f>IF($W27=$F$16,$P$32,0)</f>
        <v/>
      </c>
      <c r="BP27" s="351">
        <f>IF(AND(W27&gt;$F$16,W27&lt;=SUM($F$16:$F$17)),$P$41,0)</f>
        <v/>
      </c>
      <c r="BQ27" s="351">
        <f>IFERROR(-IPMT($P$67,W27-$F$16,$F$17,SUM(P$31,P$51)),0)</f>
        <v/>
      </c>
      <c r="BR27" s="351">
        <f>IF($W27&lt;=$O$16,$F$105,0)</f>
        <v/>
      </c>
      <c r="BS27" s="353">
        <f>IF($W27=1,SUM($O$103,$O$105),0)</f>
        <v/>
      </c>
      <c r="BT27" s="351">
        <f>IF($W27&lt;$O$16,IF(W27=$F$16,$P$93,$P$94),0)</f>
        <v/>
      </c>
      <c r="BU27" s="352">
        <f>SUM(BO27:BP27,BR27:BT27)</f>
        <v/>
      </c>
      <c r="BV27" s="352">
        <f>BN27-BU27</f>
        <v/>
      </c>
      <c r="BW27" s="342" t="n"/>
      <c r="BX27" s="338">
        <f>IFERROR(-PPMT($P$67,$W27-$F$16,$F$17,SUM(P$31,P$51)),0)</f>
        <v/>
      </c>
      <c r="BY27" s="356">
        <f>IF(BV27-BX27&gt;=0,0,1)</f>
        <v/>
      </c>
      <c r="CA27" s="0" t="n"/>
    </row>
    <row r="28" ht="15.75" customHeight="1" s="302">
      <c r="B28" s="0" t="inlineStr">
        <is>
          <t>2.1施設整備費用</t>
        </is>
      </c>
      <c r="D28" s="0" t="inlineStr">
        <is>
          <t>百万円</t>
        </is>
      </c>
      <c r="F28" s="394">
        <f>SUM(F29:F30)</f>
        <v/>
      </c>
      <c r="J28" s="4" t="inlineStr">
        <is>
          <t>2.1 施設整備費用</t>
        </is>
      </c>
      <c r="O28" s="0" t="inlineStr">
        <is>
          <t>PSC</t>
        </is>
      </c>
      <c r="P28" s="0" t="inlineStr">
        <is>
          <t>PFI-LCC</t>
        </is>
      </c>
      <c r="V28" s="58">
        <f>IF(W28=1,DATE(YEAR($F$18)+(MONTH($F$18)&gt;=4),4,0),EOMONTH(V27,12))</f>
        <v/>
      </c>
      <c r="W28" s="6" t="n">
        <v>12</v>
      </c>
      <c r="X28" s="6">
        <f>IF(W28&gt;$O$16,"-",IF($W28&lt;=$F$16,"整備期間","維持管理・運営期間"))</f>
        <v/>
      </c>
      <c r="Y28" s="344">
        <f>IF($W28=$F$16,$O$61,0)</f>
        <v/>
      </c>
      <c r="Z28" s="345">
        <f>IF($W28=$F$16,$O$63,0)</f>
        <v/>
      </c>
      <c r="AA28" s="345">
        <f>IF($W28=$F$16,$O$62,0)</f>
        <v/>
      </c>
      <c r="AB28" s="345">
        <f>IF(X28="維持管理・運営期間",$F$56,0)</f>
        <v/>
      </c>
      <c r="AC28" s="346">
        <f>SUM(Y28:Z28,AB28)</f>
        <v/>
      </c>
      <c r="AD28" s="344">
        <f>IF($W28=$F$16,$O$30,0)</f>
        <v/>
      </c>
      <c r="AE28" s="345">
        <f>IF($X28="維持管理・運営期間",$O$41,0)</f>
        <v/>
      </c>
      <c r="AF28" s="345">
        <f>IF(AND($W28&gt;0,$W28&lt;=$O$16),$E$45,0)</f>
        <v/>
      </c>
      <c r="AG28" s="345">
        <f>IF(AND(SUM($AA$16:AA27)&gt;0,SUM($AG$16:AG27)&lt;$O$62,$W28&gt;=$O$65),$O$64,0)</f>
        <v/>
      </c>
      <c r="AH28" s="351">
        <f>IF(SUM($AA$17:$AA27)&gt;0,($O$62-SUM($AG$17:$AG27))*$F$65,0)</f>
        <v/>
      </c>
      <c r="AI28" s="346">
        <f>SUM(AD28:AF28)</f>
        <v/>
      </c>
      <c r="AJ28" s="351">
        <f>AC28-AI28</f>
        <v/>
      </c>
      <c r="AK28" s="338">
        <f>(SUM($P$31,$P$51)-SUM($AU$17:AU27))*$O$109</f>
        <v/>
      </c>
      <c r="AL28" s="348" t="n"/>
      <c r="AM28" s="352">
        <f>AJ28*$BF28</f>
        <v/>
      </c>
      <c r="AN28" s="349" t="n"/>
      <c r="AO28" s="350">
        <f>IF($W28=$F$16,$P$61,0)</f>
        <v/>
      </c>
      <c r="AP28" s="351">
        <f>IF($W28=$F$16,$P$63,0)</f>
        <v/>
      </c>
      <c r="AQ28" s="351">
        <f>IF($W28=$F$16,$P$62,0)</f>
        <v/>
      </c>
      <c r="AR28" s="345">
        <f>IF($W28&lt;$O$16,IF(W28=$F$16,$U$92,$U$93),0)</f>
        <v/>
      </c>
      <c r="AS28" s="346">
        <f>SUM(AO28:AP28,AR28)</f>
        <v/>
      </c>
      <c r="AT28" s="345">
        <f>IF(W28=$F$16,$P$30,0)</f>
        <v/>
      </c>
      <c r="AU28" s="345">
        <f>IFERROR(-PPMT($P$36,W28-$F$16,$F$17,SUM(P$31,P$51)),0)</f>
        <v/>
      </c>
      <c r="AV28" s="345">
        <f>IFERROR(-IPMT($P$36,W28-$F$16,$F$17,SUM($P$31,$P$51)),0)</f>
        <v/>
      </c>
      <c r="AW28" s="345">
        <f>IF(AND(W28&gt;$F$16,W28&lt;=SUM($F$16:$F$17)),$P$43,0)</f>
        <v/>
      </c>
      <c r="AX28" s="345">
        <f>IF($W28=1,$F$44,0)+IF(AND($W28&gt;0,$W28&lt;=$O$16),$F$45,0)</f>
        <v/>
      </c>
      <c r="AY28" s="345">
        <f>IF(AND(W28&gt;$F$16,W28&lt;=SUM($F$16:$F$17)),$P$54,0)</f>
        <v/>
      </c>
      <c r="AZ28" s="345">
        <f>IF(AND(SUM($AQ$16:AQ27)&gt;0,SUM($AZ$16:AZ27)&lt;$P$62,$W28&gt;=$P$65),$P$64,0)</f>
        <v/>
      </c>
      <c r="BA28" s="345">
        <f>IF(SUM($AQ$17:$AQ27)&gt;0,($P$62-SUM($AZ$17:$AZ27))*$F$65,0)</f>
        <v/>
      </c>
      <c r="BB28" s="346">
        <f>SUM(AT28:AY28)</f>
        <v/>
      </c>
      <c r="BC28" s="351">
        <f>AS28-BB28</f>
        <v/>
      </c>
      <c r="BD28" s="352">
        <f>BC28*$BF28</f>
        <v/>
      </c>
      <c r="BE28" s="393" t="n"/>
      <c r="BF28" s="46">
        <f>BF27/(1+$O$22)</f>
        <v/>
      </c>
      <c r="BH28" s="350">
        <f>AT28</f>
        <v/>
      </c>
      <c r="BI28" s="350">
        <f>AU28</f>
        <v/>
      </c>
      <c r="BJ28" s="351">
        <f>AV28</f>
        <v/>
      </c>
      <c r="BK28" s="351">
        <f>AW28</f>
        <v/>
      </c>
      <c r="BL28" s="351">
        <f>AY28</f>
        <v/>
      </c>
      <c r="BM28" s="351">
        <f>IF($W28&gt;$F$16,$F$56,0)</f>
        <v/>
      </c>
      <c r="BN28" s="352">
        <f>SUM(BH28:BM28)</f>
        <v/>
      </c>
      <c r="BO28" s="351">
        <f>IF($W28=$F$16,$P$32,0)</f>
        <v/>
      </c>
      <c r="BP28" s="351">
        <f>IF(AND(W28&gt;$F$16,W28&lt;=SUM($F$16:$F$17)),$P$41,0)</f>
        <v/>
      </c>
      <c r="BQ28" s="351">
        <f>IFERROR(-IPMT($P$67,W28-$F$16,$F$17,SUM(P$31,P$51)),0)</f>
        <v/>
      </c>
      <c r="BR28" s="351">
        <f>IF($W28&lt;=$O$16,$F$105,0)</f>
        <v/>
      </c>
      <c r="BS28" s="353">
        <f>IF($W28=1,SUM($O$103,$O$105),0)</f>
        <v/>
      </c>
      <c r="BT28" s="351">
        <f>IF($W28&lt;$O$16,IF(W28=$F$16,$P$93,$P$94),0)</f>
        <v/>
      </c>
      <c r="BU28" s="352">
        <f>SUM(BO28:BP28,BR28:BT28)</f>
        <v/>
      </c>
      <c r="BV28" s="352">
        <f>BN28-BU28</f>
        <v/>
      </c>
      <c r="BW28" s="342" t="n"/>
      <c r="BX28" s="338">
        <f>IFERROR(-PPMT($P$67,$W28-$F$16,$F$17,SUM(P$31,P$51)),0)</f>
        <v/>
      </c>
      <c r="BY28" s="356">
        <f>IF(BV28-BX28&gt;=0,0,1)</f>
        <v/>
      </c>
      <c r="CA28" s="0" t="n"/>
    </row>
    <row r="29" ht="15.75" customHeight="1" s="302">
      <c r="C29" s="2" t="inlineStr">
        <is>
          <t>うち、過去の落札価格を反映</t>
        </is>
      </c>
      <c r="D29" s="0" t="inlineStr">
        <is>
          <t>百万円</t>
        </is>
      </c>
      <c r="F29" s="359">
        <f>事業費用概算!G6</f>
        <v/>
      </c>
      <c r="K29" s="0" t="inlineStr">
        <is>
          <t>施設整備費用</t>
        </is>
      </c>
      <c r="N29" s="19" t="inlineStr">
        <is>
          <t>百万円</t>
        </is>
      </c>
      <c r="O29" s="358">
        <f>F30*$F$50+F29</f>
        <v/>
      </c>
      <c r="P29" s="358">
        <f>F28*(1-F51)</f>
        <v/>
      </c>
      <c r="Q29" s="0" t="inlineStr">
        <is>
          <t>PSCは競争の効果反映、LCCは削減率を反映</t>
        </is>
      </c>
      <c r="V29" s="58">
        <f>IF(W29=1,DATE(YEAR($F$18)+(MONTH($F$18)&gt;=4),4,0),EOMONTH(V28,12))</f>
        <v/>
      </c>
      <c r="W29" s="6" t="n">
        <v>13</v>
      </c>
      <c r="X29" s="6">
        <f>IF(W29&gt;$O$16,"-",IF($W29&lt;=$F$16,"整備期間","維持管理・運営期間"))</f>
        <v/>
      </c>
      <c r="Y29" s="344">
        <f>IF($W29=$F$16,$O$61,0)</f>
        <v/>
      </c>
      <c r="Z29" s="345">
        <f>IF($W29=$F$16,$O$63,0)</f>
        <v/>
      </c>
      <c r="AA29" s="345">
        <f>IF($W29=$F$16,$O$62,0)</f>
        <v/>
      </c>
      <c r="AB29" s="345">
        <f>IF(X29="維持管理・運営期間",$F$56,0)</f>
        <v/>
      </c>
      <c r="AC29" s="346">
        <f>SUM(Y29:Z29,AB29)</f>
        <v/>
      </c>
      <c r="AD29" s="344">
        <f>IF($W29=$F$16,$O$30,0)</f>
        <v/>
      </c>
      <c r="AE29" s="345">
        <f>IF($X29="維持管理・運営期間",$O$41,0)</f>
        <v/>
      </c>
      <c r="AF29" s="345">
        <f>IF(AND($W29&gt;0,$W29&lt;=$O$16),$E$45,0)</f>
        <v/>
      </c>
      <c r="AG29" s="345">
        <f>IF(AND(SUM($AA$16:AA28)&gt;0,SUM($AG$16:AG28)&lt;$O$62,$W29&gt;=$O$65),$O$64,0)</f>
        <v/>
      </c>
      <c r="AH29" s="351">
        <f>IF(SUM($AA$17:$AA28)&gt;0,($O$62-SUM($AG$17:$AG28))*$F$65,0)</f>
        <v/>
      </c>
      <c r="AI29" s="346">
        <f>SUM(AD29:AF29)</f>
        <v/>
      </c>
      <c r="AJ29" s="351">
        <f>AC29-AI29</f>
        <v/>
      </c>
      <c r="AK29" s="338">
        <f>(SUM($P$31,$P$51)-SUM($AU$17:AU28))*$O$109</f>
        <v/>
      </c>
      <c r="AL29" s="348" t="n"/>
      <c r="AM29" s="352">
        <f>AJ29*$BF29</f>
        <v/>
      </c>
      <c r="AN29" s="349" t="n"/>
      <c r="AO29" s="350">
        <f>IF($W29=$F$16,$P$61,0)</f>
        <v/>
      </c>
      <c r="AP29" s="351">
        <f>IF($W29=$F$16,$P$63,0)</f>
        <v/>
      </c>
      <c r="AQ29" s="351">
        <f>IF($W29=$F$16,$P$62,0)</f>
        <v/>
      </c>
      <c r="AR29" s="345">
        <f>IF($W29&lt;$O$16,IF(W29=$F$16,$U$92,$U$93),0)</f>
        <v/>
      </c>
      <c r="AS29" s="346">
        <f>SUM(AO29:AP29,AR29)</f>
        <v/>
      </c>
      <c r="AT29" s="345">
        <f>IF(W29=$F$16,$P$30,0)</f>
        <v/>
      </c>
      <c r="AU29" s="345">
        <f>IFERROR(-PPMT($P$36,W29-$F$16,$F$17,SUM(P$31,P$51)),0)</f>
        <v/>
      </c>
      <c r="AV29" s="345">
        <f>IFERROR(-IPMT($P$36,W29-$F$16,$F$17,SUM($P$31,$P$51)),0)</f>
        <v/>
      </c>
      <c r="AW29" s="345">
        <f>IF(AND(W29&gt;$F$16,W29&lt;=SUM($F$16:$F$17)),$P$43,0)</f>
        <v/>
      </c>
      <c r="AX29" s="345">
        <f>IF($W29=1,$F$44,0)+IF(AND($W29&gt;0,$W29&lt;=$O$16),$F$45,0)</f>
        <v/>
      </c>
      <c r="AY29" s="345">
        <f>IF(AND(W29&gt;$F$16,W29&lt;=SUM($F$16:$F$17)),$P$54,0)</f>
        <v/>
      </c>
      <c r="AZ29" s="345">
        <f>IF(AND(SUM($AQ$16:AQ28)&gt;0,SUM($AZ$16:AZ28)&lt;$P$62,$W29&gt;=$P$65),$P$64,0)</f>
        <v/>
      </c>
      <c r="BA29" s="345">
        <f>IF(SUM($AQ$17:$AQ28)&gt;0,($P$62-SUM($AZ$17:$AZ28))*$F$65,0)</f>
        <v/>
      </c>
      <c r="BB29" s="346">
        <f>SUM(AT29:AY29)</f>
        <v/>
      </c>
      <c r="BC29" s="351">
        <f>AS29-BB29</f>
        <v/>
      </c>
      <c r="BD29" s="352">
        <f>BC29*$BF29</f>
        <v/>
      </c>
      <c r="BE29" s="393" t="n"/>
      <c r="BF29" s="46">
        <f>BF28/(1+$O$22)</f>
        <v/>
      </c>
      <c r="BH29" s="350">
        <f>AT29</f>
        <v/>
      </c>
      <c r="BI29" s="350">
        <f>AU29</f>
        <v/>
      </c>
      <c r="BJ29" s="351">
        <f>AV29</f>
        <v/>
      </c>
      <c r="BK29" s="351">
        <f>AW29</f>
        <v/>
      </c>
      <c r="BL29" s="351">
        <f>AY29</f>
        <v/>
      </c>
      <c r="BM29" s="351">
        <f>IF($W29&gt;$F$16,$F$56,0)</f>
        <v/>
      </c>
      <c r="BN29" s="352">
        <f>SUM(BH29:BM29)</f>
        <v/>
      </c>
      <c r="BO29" s="351">
        <f>IF($W29=$F$16,$P$32,0)</f>
        <v/>
      </c>
      <c r="BP29" s="351">
        <f>IF(AND(W29&gt;$F$16,W29&lt;=SUM($F$16:$F$17)),$P$41,0)</f>
        <v/>
      </c>
      <c r="BQ29" s="351">
        <f>IFERROR(-IPMT($P$67,W29-$F$16,$F$17,SUM(P$31,P$51)),0)</f>
        <v/>
      </c>
      <c r="BR29" s="351">
        <f>IF($W29&lt;=$O$16,$F$105,0)</f>
        <v/>
      </c>
      <c r="BS29" s="353">
        <f>IF($W29=1,SUM($O$103,$O$105),0)</f>
        <v/>
      </c>
      <c r="BT29" s="351">
        <f>IF($W29&lt;$O$16,IF(W29=$F$16,$P$93,$P$94),0)</f>
        <v/>
      </c>
      <c r="BU29" s="352">
        <f>SUM(BO29:BP29,BR29:BT29)</f>
        <v/>
      </c>
      <c r="BV29" s="352">
        <f>BN29-BU29</f>
        <v/>
      </c>
      <c r="BW29" s="342" t="n"/>
      <c r="BX29" s="338">
        <f>IFERROR(-PPMT($P$67,$W29-$F$16,$F$17,SUM(P$31,P$51)),0)</f>
        <v/>
      </c>
      <c r="BY29" s="356">
        <f>IF(BV29-BX29&gt;=0,0,1)</f>
        <v/>
      </c>
      <c r="CA29" s="0" t="n"/>
    </row>
    <row r="30" ht="15.75" customHeight="1" s="302">
      <c r="C30" s="2" t="inlineStr">
        <is>
          <t>うち、PSCの予定価格を反映</t>
        </is>
      </c>
      <c r="D30" s="0" t="inlineStr">
        <is>
          <t>百万円</t>
        </is>
      </c>
      <c r="F30" s="359">
        <f>事業費用概算!G7</f>
        <v/>
      </c>
      <c r="M30" s="56" t="inlineStr">
        <is>
          <t>完工時、一括払</t>
        </is>
      </c>
      <c r="N30" s="19" t="inlineStr">
        <is>
          <t>百万円</t>
        </is>
      </c>
      <c r="O30" s="360">
        <f>O29*E32</f>
        <v/>
      </c>
      <c r="P30" s="360">
        <f>$P$29*F32</f>
        <v/>
      </c>
      <c r="V30" s="58">
        <f>IF(W30=1,DATE(YEAR($F$18)+(MONTH($F$18)&gt;=4),4,0),EOMONTH(V29,12))</f>
        <v/>
      </c>
      <c r="W30" s="6" t="n">
        <v>14</v>
      </c>
      <c r="X30" s="6">
        <f>IF(W30&gt;$O$16,"-",IF($W30&lt;=$F$16,"整備期間","維持管理・運営期間"))</f>
        <v/>
      </c>
      <c r="Y30" s="344">
        <f>IF($W30=$F$16,$O$61,0)</f>
        <v/>
      </c>
      <c r="Z30" s="345">
        <f>IF($W30=$F$16,$O$63,0)</f>
        <v/>
      </c>
      <c r="AA30" s="345">
        <f>IF($W30=$F$16,$O$62,0)</f>
        <v/>
      </c>
      <c r="AB30" s="345">
        <f>IF(X30="維持管理・運営期間",$F$56,0)</f>
        <v/>
      </c>
      <c r="AC30" s="346">
        <f>SUM(Y30:Z30,AB30)</f>
        <v/>
      </c>
      <c r="AD30" s="344">
        <f>IF($W30=$F$16,$O$30,0)</f>
        <v/>
      </c>
      <c r="AE30" s="345">
        <f>IF($X30="維持管理・運営期間",$O$41,0)</f>
        <v/>
      </c>
      <c r="AF30" s="345">
        <f>IF(AND($W30&gt;0,$W30&lt;=$O$16),$E$45,0)</f>
        <v/>
      </c>
      <c r="AG30" s="345">
        <f>IF(AND(SUM($AA$16:AA29)&gt;0,SUM($AG$16:AG29)&lt;$O$62,$W30&gt;=$O$65),$O$64,0)</f>
        <v/>
      </c>
      <c r="AH30" s="351">
        <f>IF(SUM($AA$17:$AA29)&gt;0,($O$62-SUM($AG$17:$AG29))*$F$65,0)</f>
        <v/>
      </c>
      <c r="AI30" s="346">
        <f>SUM(AD30:AF30)</f>
        <v/>
      </c>
      <c r="AJ30" s="351">
        <f>AC30-AI30</f>
        <v/>
      </c>
      <c r="AK30" s="338">
        <f>(SUM($P$31,$P$51)-SUM($AU$17:AU29))*$O$109</f>
        <v/>
      </c>
      <c r="AL30" s="348" t="n"/>
      <c r="AM30" s="352">
        <f>AJ30*$BF30</f>
        <v/>
      </c>
      <c r="AN30" s="349" t="n"/>
      <c r="AO30" s="350">
        <f>IF($W30=$F$16,$P$61,0)</f>
        <v/>
      </c>
      <c r="AP30" s="351">
        <f>IF($W30=$F$16,$P$63,0)</f>
        <v/>
      </c>
      <c r="AQ30" s="351">
        <f>IF($W30=$F$16,$P$62,0)</f>
        <v/>
      </c>
      <c r="AR30" s="345">
        <f>IF($W30&lt;$O$16,IF(W30=$F$16,$U$92,$U$93),0)</f>
        <v/>
      </c>
      <c r="AS30" s="346">
        <f>SUM(AO30:AP30,AR30)</f>
        <v/>
      </c>
      <c r="AT30" s="345">
        <f>IF(W30=$F$16,$P$30,0)</f>
        <v/>
      </c>
      <c r="AU30" s="345">
        <f>IFERROR(-PPMT($P$36,W30-$F$16,$F$17,SUM(P$31,P$51)),0)</f>
        <v/>
      </c>
      <c r="AV30" s="345">
        <f>IFERROR(-IPMT($P$36,W30-$F$16,$F$17,SUM($P$31,$P$51)),0)</f>
        <v/>
      </c>
      <c r="AW30" s="345">
        <f>IF(AND(W30&gt;$F$16,W30&lt;=SUM($F$16:$F$17)),$P$43,0)</f>
        <v/>
      </c>
      <c r="AX30" s="345">
        <f>IF($W30=1,$F$44,0)+IF(AND($W30&gt;0,$W30&lt;=$O$16),$F$45,0)</f>
        <v/>
      </c>
      <c r="AY30" s="345">
        <f>IF(AND(W30&gt;$F$16,W30&lt;=SUM($F$16:$F$17)),$P$54,0)</f>
        <v/>
      </c>
      <c r="AZ30" s="345">
        <f>IF(AND(SUM($AQ$16:AQ29)&gt;0,SUM($AZ$16:AZ29)&lt;$P$62,$W30&gt;=$P$65),$P$64,0)</f>
        <v/>
      </c>
      <c r="BA30" s="345">
        <f>IF(SUM($AQ$17:$AQ29)&gt;0,($P$62-SUM($AZ$17:$AZ29))*$F$65,0)</f>
        <v/>
      </c>
      <c r="BB30" s="346">
        <f>SUM(AT30:AY30)</f>
        <v/>
      </c>
      <c r="BC30" s="351">
        <f>AS30-BB30</f>
        <v/>
      </c>
      <c r="BD30" s="352">
        <f>BC30*$BF30</f>
        <v/>
      </c>
      <c r="BE30" s="393" t="n"/>
      <c r="BF30" s="46">
        <f>BF29/(1+$O$22)</f>
        <v/>
      </c>
      <c r="BH30" s="350">
        <f>AT30</f>
        <v/>
      </c>
      <c r="BI30" s="350">
        <f>AU30</f>
        <v/>
      </c>
      <c r="BJ30" s="351">
        <f>AV30</f>
        <v/>
      </c>
      <c r="BK30" s="351">
        <f>AW30</f>
        <v/>
      </c>
      <c r="BL30" s="351">
        <f>AY30</f>
        <v/>
      </c>
      <c r="BM30" s="351">
        <f>IF($W30&gt;$F$16,$F$56,0)</f>
        <v/>
      </c>
      <c r="BN30" s="352">
        <f>SUM(BH30:BM30)</f>
        <v/>
      </c>
      <c r="BO30" s="351">
        <f>IF($W30=$F$16,$P$32,0)</f>
        <v/>
      </c>
      <c r="BP30" s="351">
        <f>IF(AND(W30&gt;$F$16,W30&lt;=SUM($F$16:$F$17)),$P$41,0)</f>
        <v/>
      </c>
      <c r="BQ30" s="351">
        <f>IFERROR(-IPMT($P$67,W30-$F$16,$F$17,SUM(P$31,P$51)),0)</f>
        <v/>
      </c>
      <c r="BR30" s="351">
        <f>IF($W30&lt;=$O$16,$F$105,0)</f>
        <v/>
      </c>
      <c r="BS30" s="353">
        <f>IF($W30=1,SUM($O$103,$O$105),0)</f>
        <v/>
      </c>
      <c r="BT30" s="351">
        <f>IF($W30&lt;$O$16,IF(W30=$F$16,$P$93,$P$94),0)</f>
        <v/>
      </c>
      <c r="BU30" s="352">
        <f>SUM(BO30:BP30,BR30:BT30)</f>
        <v/>
      </c>
      <c r="BV30" s="352">
        <f>BN30-BU30</f>
        <v/>
      </c>
      <c r="BW30" s="342" t="n"/>
      <c r="BX30" s="338">
        <f>IFERROR(-PPMT($P$67,$W30-$F$16,$F$17,SUM(P$31,P$51)),0)</f>
        <v/>
      </c>
      <c r="BY30" s="356">
        <f>IF(BV30-BX30&gt;=0,0,1)</f>
        <v/>
      </c>
      <c r="CA30" s="0" t="n"/>
    </row>
    <row r="31" ht="15.75" customHeight="1" s="302">
      <c r="C31" s="0" t="inlineStr">
        <is>
          <t>施設整備費用の支払内訳</t>
        </is>
      </c>
      <c r="E31" s="19" t="inlineStr">
        <is>
          <t>PSC</t>
        </is>
      </c>
      <c r="F31" s="19" t="inlineStr">
        <is>
          <t>PFI-LCC</t>
        </is>
      </c>
      <c r="M31" s="56" t="inlineStr">
        <is>
          <t>完工後、割賦払</t>
        </is>
      </c>
      <c r="N31" s="19" t="inlineStr">
        <is>
          <t>百万円</t>
        </is>
      </c>
      <c r="O31" s="360">
        <f>O30*E33</f>
        <v/>
      </c>
      <c r="P31" s="360">
        <f>$P$29*F33</f>
        <v/>
      </c>
      <c r="V31" s="58">
        <f>IF(W31=1,DATE(YEAR($F$18)+(MONTH($F$18)&gt;=4),4,0),EOMONTH(V30,12))</f>
        <v/>
      </c>
      <c r="W31" s="6" t="n">
        <v>15</v>
      </c>
      <c r="X31" s="6">
        <f>IF(W31&gt;$O$16,"-",IF($W31&lt;=$F$16,"整備期間","維持管理・運営期間"))</f>
        <v/>
      </c>
      <c r="Y31" s="344">
        <f>IF($W31=$F$16,$O$61,0)</f>
        <v/>
      </c>
      <c r="Z31" s="345">
        <f>IF($W31=$F$16,$O$63,0)</f>
        <v/>
      </c>
      <c r="AA31" s="345">
        <f>IF($W31=$F$16,$O$62,0)</f>
        <v/>
      </c>
      <c r="AB31" s="345">
        <f>IF(X31="維持管理・運営期間",$F$56,0)</f>
        <v/>
      </c>
      <c r="AC31" s="346">
        <f>SUM(Y31:Z31,AB31)</f>
        <v/>
      </c>
      <c r="AD31" s="344">
        <f>IF($W31=$F$16,$O$30,0)</f>
        <v/>
      </c>
      <c r="AE31" s="345">
        <f>IF($X31="維持管理・運営期間",$O$41,0)</f>
        <v/>
      </c>
      <c r="AF31" s="345">
        <f>IF(AND($W31&gt;0,$W31&lt;=$O$16),$E$45,0)</f>
        <v/>
      </c>
      <c r="AG31" s="345">
        <f>IF(AND(SUM($AA$16:AA30)&gt;0,SUM($AG$16:AG30)&lt;$O$62,$W31&gt;=$O$65),$O$64,0)</f>
        <v/>
      </c>
      <c r="AH31" s="351">
        <f>IF(SUM($AA$17:$AA30)&gt;0,($O$62-SUM($AG$17:$AG30))*$F$65,0)</f>
        <v/>
      </c>
      <c r="AI31" s="346">
        <f>SUM(AD31:AF31)</f>
        <v/>
      </c>
      <c r="AJ31" s="351">
        <f>AC31-AI31</f>
        <v/>
      </c>
      <c r="AK31" s="338">
        <f>(SUM($P$31,$P$51)-SUM($AU$17:AU30))*$O$109</f>
        <v/>
      </c>
      <c r="AL31" s="348" t="n"/>
      <c r="AM31" s="352">
        <f>AJ31*$BF31</f>
        <v/>
      </c>
      <c r="AN31" s="349" t="n"/>
      <c r="AO31" s="350">
        <f>IF($W31=$F$16,$P$61,0)</f>
        <v/>
      </c>
      <c r="AP31" s="351">
        <f>IF($W31=$F$16,$P$63,0)</f>
        <v/>
      </c>
      <c r="AQ31" s="351">
        <f>IF($W31=$F$16,$P$62,0)</f>
        <v/>
      </c>
      <c r="AR31" s="345">
        <f>IF($W31&lt;$O$16,IF(W31=$F$16,$U$92,$U$93),0)</f>
        <v/>
      </c>
      <c r="AS31" s="346">
        <f>SUM(AO31:AP31,AR31)</f>
        <v/>
      </c>
      <c r="AT31" s="345">
        <f>IF(W31=$F$16,$P$30,0)</f>
        <v/>
      </c>
      <c r="AU31" s="345">
        <f>IFERROR(-PPMT($P$36,W31-$F$16,$F$17,SUM(P$31,P$51)),0)</f>
        <v/>
      </c>
      <c r="AV31" s="345">
        <f>IFERROR(-IPMT($P$36,W31-$F$16,$F$17,SUM($P$31,$P$51)),0)</f>
        <v/>
      </c>
      <c r="AW31" s="345">
        <f>IF(AND(W31&gt;$F$16,W31&lt;=SUM($F$16:$F$17)),$P$43,0)</f>
        <v/>
      </c>
      <c r="AX31" s="345">
        <f>IF($W31=1,$F$44,0)+IF(AND($W31&gt;0,$W31&lt;=$O$16),$F$45,0)</f>
        <v/>
      </c>
      <c r="AY31" s="345">
        <f>IF(AND(W31&gt;$F$16,W31&lt;=SUM($F$16:$F$17)),$P$54,0)</f>
        <v/>
      </c>
      <c r="AZ31" s="345">
        <f>IF(AND(SUM($AQ$16:AQ30)&gt;0,SUM($AZ$16:AZ30)&lt;$P$62,$W31&gt;=$P$65),$P$64,0)</f>
        <v/>
      </c>
      <c r="BA31" s="345">
        <f>IF(SUM($AQ$17:$AQ30)&gt;0,($P$62-SUM($AZ$17:$AZ30))*$F$65,0)</f>
        <v/>
      </c>
      <c r="BB31" s="346">
        <f>SUM(AT31:AY31)</f>
        <v/>
      </c>
      <c r="BC31" s="351">
        <f>AS31-BB31</f>
        <v/>
      </c>
      <c r="BD31" s="352">
        <f>BC31*$BF31</f>
        <v/>
      </c>
      <c r="BE31" s="393" t="n"/>
      <c r="BF31" s="46">
        <f>BF30/(1+$O$22)</f>
        <v/>
      </c>
      <c r="BH31" s="350">
        <f>AT31</f>
        <v/>
      </c>
      <c r="BI31" s="350">
        <f>AU31</f>
        <v/>
      </c>
      <c r="BJ31" s="351">
        <f>AV31</f>
        <v/>
      </c>
      <c r="BK31" s="351">
        <f>AW31</f>
        <v/>
      </c>
      <c r="BL31" s="351">
        <f>AY31</f>
        <v/>
      </c>
      <c r="BM31" s="351">
        <f>IF($W31&gt;$F$16,$F$56,0)</f>
        <v/>
      </c>
      <c r="BN31" s="352">
        <f>SUM(BH31:BM31)</f>
        <v/>
      </c>
      <c r="BO31" s="351">
        <f>IF($W31=$F$16,$P$32,0)</f>
        <v/>
      </c>
      <c r="BP31" s="351">
        <f>IF(AND(W31&gt;$F$16,W31&lt;=SUM($F$16:$F$17)),$P$41,0)</f>
        <v/>
      </c>
      <c r="BQ31" s="351">
        <f>IFERROR(-IPMT($P$67,W31-$F$16,$F$17,SUM(P$31,P$51)),0)</f>
        <v/>
      </c>
      <c r="BR31" s="351">
        <f>IF($W31&lt;=$O$16,$F$105,0)</f>
        <v/>
      </c>
      <c r="BS31" s="353">
        <f>IF($W31=1,SUM($O$103,$O$105),0)</f>
        <v/>
      </c>
      <c r="BT31" s="351">
        <f>IF($W31&lt;$O$16,IF(W31=$F$16,$P$93,$P$94),0)</f>
        <v/>
      </c>
      <c r="BU31" s="352">
        <f>SUM(BO31:BP31,BR31:BT31)</f>
        <v/>
      </c>
      <c r="BV31" s="352">
        <f>BN31-BU31</f>
        <v/>
      </c>
      <c r="BW31" s="342" t="n"/>
      <c r="BX31" s="338">
        <f>IFERROR(-PPMT($P$67,$W31-$F$16,$F$17,SUM(P$31,P$51)),0)</f>
        <v/>
      </c>
      <c r="BY31" s="356">
        <f>IF(BV31-BX31&gt;=0,0,1)</f>
        <v/>
      </c>
      <c r="CA31" s="0" t="n"/>
    </row>
    <row r="32" ht="15.75" customHeight="1" s="302">
      <c r="C32" s="2" t="inlineStr">
        <is>
          <t>完工時、一括払</t>
        </is>
      </c>
      <c r="D32" s="0" t="inlineStr">
        <is>
          <t>％</t>
        </is>
      </c>
      <c r="E32" s="268" t="n">
        <v>1</v>
      </c>
      <c r="F32" s="138" t="n">
        <v>1</v>
      </c>
      <c r="H32" s="72" t="inlineStr">
        <is>
          <t>一括払のみ</t>
        </is>
      </c>
      <c r="M32" s="56" t="inlineStr">
        <is>
          <t>施設整備費用合計</t>
        </is>
      </c>
      <c r="N32" s="19" t="inlineStr">
        <is>
          <t>百万円</t>
        </is>
      </c>
      <c r="O32" s="360">
        <f>SUM(O30:O31)</f>
        <v/>
      </c>
      <c r="P32" s="360">
        <f>SUM(P30:P31)</f>
        <v/>
      </c>
      <c r="V32" s="58">
        <f>IF(W32=1,DATE(YEAR($F$18)+(MONTH($F$18)&gt;=4),4,0),EOMONTH(V31,12))</f>
        <v/>
      </c>
      <c r="W32" s="6" t="n">
        <v>16</v>
      </c>
      <c r="X32" s="6">
        <f>IF(W32&gt;$O$16,"-",IF($W32&lt;=$F$16,"整備期間","維持管理・運営期間"))</f>
        <v/>
      </c>
      <c r="Y32" s="344">
        <f>IF($W32=$F$16,$O$61,0)</f>
        <v/>
      </c>
      <c r="Z32" s="345">
        <f>IF($W32=$F$16,$O$63,0)</f>
        <v/>
      </c>
      <c r="AA32" s="345">
        <f>IF($W32=$F$16,$O$62,0)</f>
        <v/>
      </c>
      <c r="AB32" s="345">
        <f>IF(X32="維持管理・運営期間",$F$56,0)</f>
        <v/>
      </c>
      <c r="AC32" s="346">
        <f>SUM(Y32:Z32,AB32)</f>
        <v/>
      </c>
      <c r="AD32" s="344">
        <f>IF($W32=$F$16,$O$30,0)</f>
        <v/>
      </c>
      <c r="AE32" s="345">
        <f>IF($X32="維持管理・運営期間",$O$41,0)</f>
        <v/>
      </c>
      <c r="AF32" s="345">
        <f>IF(AND($W32&gt;0,$W32&lt;=$O$16),$E$45,0)</f>
        <v/>
      </c>
      <c r="AG32" s="345">
        <f>IF(AND(SUM($AA$16:AA31)&gt;0,SUM($AG$16:AG31)&lt;$O$62,$W32&gt;=$O$65),$O$64,0)</f>
        <v/>
      </c>
      <c r="AH32" s="351">
        <f>IF(SUM($AA$17:$AA31)&gt;0,($O$62-SUM($AG$17:$AG31))*$F$65,0)</f>
        <v/>
      </c>
      <c r="AI32" s="346">
        <f>SUM(AD32:AF32)</f>
        <v/>
      </c>
      <c r="AJ32" s="351">
        <f>AC32-AI32</f>
        <v/>
      </c>
      <c r="AK32" s="338">
        <f>(SUM($P$31,$P$51)-SUM($AU$17:AU31))*$O$109</f>
        <v/>
      </c>
      <c r="AL32" s="348" t="n"/>
      <c r="AM32" s="352">
        <f>AJ32*$BF32</f>
        <v/>
      </c>
      <c r="AN32" s="349" t="n"/>
      <c r="AO32" s="350">
        <f>IF($W32=$F$16,$P$61,0)</f>
        <v/>
      </c>
      <c r="AP32" s="351">
        <f>IF($W32=$F$16,$P$63,0)</f>
        <v/>
      </c>
      <c r="AQ32" s="351">
        <f>IF($W32=$F$16,$P$62,0)</f>
        <v/>
      </c>
      <c r="AR32" s="345">
        <f>IF($W32&lt;$O$16,IF(W32=$F$16,$U$92,$U$93),0)</f>
        <v/>
      </c>
      <c r="AS32" s="346">
        <f>SUM(AO32:AP32,AR32)</f>
        <v/>
      </c>
      <c r="AT32" s="345">
        <f>IF(W32=$F$16,$P$30,0)</f>
        <v/>
      </c>
      <c r="AU32" s="345">
        <f>IFERROR(-PPMT($P$36,W32-$F$16,$F$17,SUM(P$31,P$51)),0)</f>
        <v/>
      </c>
      <c r="AV32" s="345">
        <f>IFERROR(-IPMT($P$36,W32-$F$16,$F$17,SUM($P$31,$P$51)),0)</f>
        <v/>
      </c>
      <c r="AW32" s="345">
        <f>IF(AND(W32&gt;$F$16,W32&lt;=SUM($F$16:$F$17)),$P$43,0)</f>
        <v/>
      </c>
      <c r="AX32" s="345">
        <f>IF($W32=1,$F$44,0)+IF(AND($W32&gt;0,$W32&lt;=$O$16),$F$45,0)</f>
        <v/>
      </c>
      <c r="AY32" s="345">
        <f>IF(AND(W32&gt;$F$16,W32&lt;=SUM($F$16:$F$17)),$P$54,0)</f>
        <v/>
      </c>
      <c r="AZ32" s="345">
        <f>IF(AND(SUM($AQ$16:AQ31)&gt;0,SUM($AZ$16:AZ31)&lt;$P$62,$W32&gt;=$P$65),$P$64,0)</f>
        <v/>
      </c>
      <c r="BA32" s="345">
        <f>IF(SUM($AQ$17:$AQ31)&gt;0,($P$62-SUM($AZ$17:$AZ31))*$F$65,0)</f>
        <v/>
      </c>
      <c r="BB32" s="346">
        <f>SUM(AT32:AY32)</f>
        <v/>
      </c>
      <c r="BC32" s="351">
        <f>AS32-BB32</f>
        <v/>
      </c>
      <c r="BD32" s="352">
        <f>BC32*$BF32</f>
        <v/>
      </c>
      <c r="BE32" s="393" t="n"/>
      <c r="BF32" s="46">
        <f>BF31/(1+$O$22)</f>
        <v/>
      </c>
      <c r="BH32" s="350">
        <f>AT32</f>
        <v/>
      </c>
      <c r="BI32" s="350">
        <f>AU32</f>
        <v/>
      </c>
      <c r="BJ32" s="351">
        <f>AV32</f>
        <v/>
      </c>
      <c r="BK32" s="351">
        <f>AW32</f>
        <v/>
      </c>
      <c r="BL32" s="351">
        <f>AY32</f>
        <v/>
      </c>
      <c r="BM32" s="351">
        <f>IF($W32&gt;$F$16,$F$56,0)</f>
        <v/>
      </c>
      <c r="BN32" s="352">
        <f>SUM(BH32:BM32)</f>
        <v/>
      </c>
      <c r="BO32" s="351">
        <f>IF($W32=$F$16,$P$32,0)</f>
        <v/>
      </c>
      <c r="BP32" s="351">
        <f>IF(AND(W32&gt;$F$16,W32&lt;=SUM($F$16:$F$17)),$P$41,0)</f>
        <v/>
      </c>
      <c r="BQ32" s="351">
        <f>IFERROR(-IPMT($P$67,W32-$F$16,$F$17,SUM(P$31,P$51)),0)</f>
        <v/>
      </c>
      <c r="BR32" s="351">
        <f>IF($W32&lt;=$O$16,$F$105,0)</f>
        <v/>
      </c>
      <c r="BS32" s="353">
        <f>IF($W32=1,SUM($O$103,$O$105),0)</f>
        <v/>
      </c>
      <c r="BT32" s="351">
        <f>IF($W32&lt;$O$16,IF(W32=$F$16,$P$93,$P$94),0)</f>
        <v/>
      </c>
      <c r="BU32" s="352">
        <f>SUM(BO32:BP32,BR32:BT32)</f>
        <v/>
      </c>
      <c r="BV32" s="352">
        <f>BN32-BU32</f>
        <v/>
      </c>
      <c r="BW32" s="342" t="n"/>
      <c r="BX32" s="338">
        <f>IFERROR(-PPMT($P$67,$W32-$F$16,$F$17,SUM(P$31,P$51)),0)</f>
        <v/>
      </c>
      <c r="BY32" s="356">
        <f>IF(BV32-BX32&gt;=0,0,1)</f>
        <v/>
      </c>
      <c r="CA32" s="0" t="n"/>
    </row>
    <row r="33" ht="15.75" customHeight="1" s="302">
      <c r="C33" s="2" t="inlineStr">
        <is>
          <t>完工後、割賦払</t>
        </is>
      </c>
      <c r="D33" s="0" t="inlineStr">
        <is>
          <t>％</t>
        </is>
      </c>
      <c r="E33" s="139" t="n"/>
      <c r="F33" s="139" t="n"/>
      <c r="V33" s="58">
        <f>IF(W33=1,DATE(YEAR($F$18)+(MONTH($F$18)&gt;=4),4,0),EOMONTH(V32,12))</f>
        <v/>
      </c>
      <c r="W33" s="6" t="n">
        <v>17</v>
      </c>
      <c r="X33" s="6">
        <f>IF(W33&gt;$O$16,"-",IF($W33&lt;=$F$16,"整備期間","維持管理・運営期間"))</f>
        <v/>
      </c>
      <c r="Y33" s="344">
        <f>IF($W33=$F$16,$O$61,0)</f>
        <v/>
      </c>
      <c r="Z33" s="345">
        <f>IF($W33=$F$16,$O$63,0)</f>
        <v/>
      </c>
      <c r="AA33" s="345">
        <f>IF($W33=$F$16,$O$62,0)</f>
        <v/>
      </c>
      <c r="AB33" s="345">
        <f>IF(X33="維持管理・運営期間",$F$56,0)</f>
        <v/>
      </c>
      <c r="AC33" s="346">
        <f>SUM(Y33:Z33,AB33)</f>
        <v/>
      </c>
      <c r="AD33" s="344">
        <f>IF($W33=$F$16,$O$30,0)</f>
        <v/>
      </c>
      <c r="AE33" s="345">
        <f>IF($X33="維持管理・運営期間",$O$41,0)</f>
        <v/>
      </c>
      <c r="AF33" s="345">
        <f>IF(AND($W33&gt;0,$W33&lt;=$O$16),$E$45,0)</f>
        <v/>
      </c>
      <c r="AG33" s="345">
        <f>IF(AND(SUM($AA$16:AA32)&gt;0,SUM($AG$16:AG32)&lt;$O$62,$W33&gt;=$O$65),$O$64,0)</f>
        <v/>
      </c>
      <c r="AH33" s="351">
        <f>IF(SUM($AA$17:$AA32)&gt;0,($O$62-SUM($AG$17:$AG32))*$F$65,0)</f>
        <v/>
      </c>
      <c r="AI33" s="346">
        <f>SUM(AD33:AF33)</f>
        <v/>
      </c>
      <c r="AJ33" s="351">
        <f>AC33-AI33</f>
        <v/>
      </c>
      <c r="AK33" s="338">
        <f>(SUM($P$31,$P$51)-SUM($AU$17:AU32))*$O$109</f>
        <v/>
      </c>
      <c r="AL33" s="348" t="n"/>
      <c r="AM33" s="352">
        <f>AJ33*$BF33</f>
        <v/>
      </c>
      <c r="AN33" s="349" t="n"/>
      <c r="AO33" s="350">
        <f>IF($W33=$F$16,$P$61,0)</f>
        <v/>
      </c>
      <c r="AP33" s="351">
        <f>IF($W33=$F$16,$P$63,0)</f>
        <v/>
      </c>
      <c r="AQ33" s="351">
        <f>IF($W33=$F$16,$P$62,0)</f>
        <v/>
      </c>
      <c r="AR33" s="345">
        <f>IF($W33&lt;$O$16,IF(W33=$F$16,$U$92,$U$93),0)</f>
        <v/>
      </c>
      <c r="AS33" s="346">
        <f>SUM(AO33:AP33,AR33)</f>
        <v/>
      </c>
      <c r="AT33" s="345">
        <f>IF(W33=$F$16,$P$30,0)</f>
        <v/>
      </c>
      <c r="AU33" s="345">
        <f>IFERROR(-PPMT($P$36,W33-$F$16,$F$17,SUM(P$31,P$51)),0)</f>
        <v/>
      </c>
      <c r="AV33" s="345">
        <f>IFERROR(-IPMT($P$36,W33-$F$16,$F$17,SUM($P$31,$P$51)),0)</f>
        <v/>
      </c>
      <c r="AW33" s="345">
        <f>IF(AND(W33&gt;$F$16,W33&lt;=SUM($F$16:$F$17)),$P$43,0)</f>
        <v/>
      </c>
      <c r="AX33" s="345">
        <f>IF($W33=1,$F$44,0)+IF(AND($W33&gt;0,$W33&lt;=$O$16),$F$45,0)</f>
        <v/>
      </c>
      <c r="AY33" s="345">
        <f>IF(AND(W33&gt;$F$16,W33&lt;=SUM($F$16:$F$17)),$P$54,0)</f>
        <v/>
      </c>
      <c r="AZ33" s="345">
        <f>IF(AND(SUM($AQ$16:AQ32)&gt;0,SUM($AZ$16:AZ32)&lt;$P$62,$W33&gt;=$P$65),$P$64,0)</f>
        <v/>
      </c>
      <c r="BA33" s="345">
        <f>IF(SUM($AQ$17:$AQ32)&gt;0,($P$62-SUM($AZ$17:$AZ32))*$F$65,0)</f>
        <v/>
      </c>
      <c r="BB33" s="346">
        <f>SUM(AT33:AY33)</f>
        <v/>
      </c>
      <c r="BC33" s="351">
        <f>AS33-BB33</f>
        <v/>
      </c>
      <c r="BD33" s="352">
        <f>BC33*$BF33</f>
        <v/>
      </c>
      <c r="BE33" s="393" t="n"/>
      <c r="BF33" s="46">
        <f>BF32/(1+$O$22)</f>
        <v/>
      </c>
      <c r="BH33" s="350">
        <f>AT33</f>
        <v/>
      </c>
      <c r="BI33" s="350">
        <f>AU33</f>
        <v/>
      </c>
      <c r="BJ33" s="351">
        <f>AV33</f>
        <v/>
      </c>
      <c r="BK33" s="351">
        <f>AW33</f>
        <v/>
      </c>
      <c r="BL33" s="351">
        <f>AY33</f>
        <v/>
      </c>
      <c r="BM33" s="351">
        <f>IF($W33&gt;$F$16,$F$56,0)</f>
        <v/>
      </c>
      <c r="BN33" s="352">
        <f>SUM(BH33:BM33)</f>
        <v/>
      </c>
      <c r="BO33" s="351">
        <f>IF($W33=$F$16,$P$32,0)</f>
        <v/>
      </c>
      <c r="BP33" s="351">
        <f>IF(AND(W33&gt;$F$16,W33&lt;=SUM($F$16:$F$17)),$P$41,0)</f>
        <v/>
      </c>
      <c r="BQ33" s="351">
        <f>IFERROR(-IPMT($P$67,W33-$F$16,$F$17,SUM(P$31,P$51)),0)</f>
        <v/>
      </c>
      <c r="BR33" s="351">
        <f>IF($W33&lt;=$O$16,$F$105,0)</f>
        <v/>
      </c>
      <c r="BS33" s="353">
        <f>IF($W33=1,SUM($O$103,$O$105),0)</f>
        <v/>
      </c>
      <c r="BT33" s="351">
        <f>IF($W33&lt;$O$16,IF(W33=$F$16,$P$93,$P$94),0)</f>
        <v/>
      </c>
      <c r="BU33" s="352">
        <f>SUM(BO33:BP33,BR33:BT33)</f>
        <v/>
      </c>
      <c r="BV33" s="352">
        <f>BN33-BU33</f>
        <v/>
      </c>
      <c r="BW33" s="342" t="n"/>
      <c r="BX33" s="338">
        <f>IFERROR(-PPMT($P$67,$W33-$F$16,$F$17,SUM(P$31,P$51)),0)</f>
        <v/>
      </c>
      <c r="BY33" s="356">
        <f>IF(BV33-BX33&gt;=0,0,1)</f>
        <v/>
      </c>
      <c r="CA33" s="0" t="n"/>
    </row>
    <row r="34" ht="15.75" customHeight="1" s="302">
      <c r="E34" s="13">
        <f>SUM(E32:E33)</f>
        <v/>
      </c>
      <c r="F34" s="13">
        <f>SUM(F32:F33)</f>
        <v/>
      </c>
      <c r="V34" s="58">
        <f>IF(W34=1,DATE(YEAR($F$18)+(MONTH($F$18)&gt;=4),4,0),EOMONTH(V33,12))</f>
        <v/>
      </c>
      <c r="W34" s="6" t="n">
        <v>18</v>
      </c>
      <c r="X34" s="6">
        <f>IF(W34&gt;$O$16,"-",IF($W34&lt;=$F$16,"整備期間","維持管理・運営期間"))</f>
        <v/>
      </c>
      <c r="Y34" s="344">
        <f>IF($W34=$F$16,$O$61,0)</f>
        <v/>
      </c>
      <c r="Z34" s="345">
        <f>IF($W34=$F$16,$O$63,0)</f>
        <v/>
      </c>
      <c r="AA34" s="345">
        <f>IF($W34=$F$16,$O$62,0)</f>
        <v/>
      </c>
      <c r="AB34" s="345">
        <f>IF(X34="維持管理・運営期間",$F$56,0)</f>
        <v/>
      </c>
      <c r="AC34" s="346">
        <f>SUM(Y34:Z34,AB34)</f>
        <v/>
      </c>
      <c r="AD34" s="344">
        <f>IF($W34=$F$16,$O$30,0)</f>
        <v/>
      </c>
      <c r="AE34" s="345">
        <f>IF($X34="維持管理・運営期間",$O$41,0)</f>
        <v/>
      </c>
      <c r="AF34" s="345">
        <f>IF(AND($W34&gt;0,$W34&lt;=$O$16),$E$45,0)</f>
        <v/>
      </c>
      <c r="AG34" s="345">
        <f>IF(AND(SUM($AA$16:AA33)&gt;0,SUM($AG$16:AG33)&lt;$O$62,$W34&gt;=$O$65),$O$64,0)</f>
        <v/>
      </c>
      <c r="AH34" s="351">
        <f>IF(SUM($AA$17:$AA33)&gt;0,($O$62-SUM($AG$17:$AG33))*$F$65,0)</f>
        <v/>
      </c>
      <c r="AI34" s="346">
        <f>SUM(AD34:AF34)</f>
        <v/>
      </c>
      <c r="AJ34" s="351">
        <f>AC34-AI34</f>
        <v/>
      </c>
      <c r="AK34" s="338">
        <f>(SUM($P$31,$P$51)-SUM($AU$17:AU33))*$O$109</f>
        <v/>
      </c>
      <c r="AL34" s="348" t="n"/>
      <c r="AM34" s="352">
        <f>AJ34*$BF34</f>
        <v/>
      </c>
      <c r="AN34" s="349" t="n"/>
      <c r="AO34" s="350">
        <f>IF($W34=$F$16,$P$61,0)</f>
        <v/>
      </c>
      <c r="AP34" s="351">
        <f>IF($W34=$F$16,$P$63,0)</f>
        <v/>
      </c>
      <c r="AQ34" s="351">
        <f>IF($W34=$F$16,$P$62,0)</f>
        <v/>
      </c>
      <c r="AR34" s="345">
        <f>IF($W34&lt;$O$16,IF(W34=$F$16,$U$92,$U$93),0)</f>
        <v/>
      </c>
      <c r="AS34" s="346">
        <f>SUM(AO34:AP34,AR34)</f>
        <v/>
      </c>
      <c r="AT34" s="345">
        <f>IF(W34=$F$16,$P$30,0)</f>
        <v/>
      </c>
      <c r="AU34" s="345">
        <f>IFERROR(-PPMT($P$36,W34-$F$16,$F$17,SUM(P$31,P$51)),0)</f>
        <v/>
      </c>
      <c r="AV34" s="345">
        <f>IFERROR(-IPMT($P$36,W34-$F$16,$F$17,SUM($P$31,$P$51)),0)</f>
        <v/>
      </c>
      <c r="AW34" s="345">
        <f>IF(AND(W34&gt;$F$16,W34&lt;=SUM($F$16:$F$17)),$P$43,0)</f>
        <v/>
      </c>
      <c r="AX34" s="345">
        <f>IF($W34=1,$F$44,0)+IF(AND($W34&gt;0,$W34&lt;=$O$16),$F$45,0)</f>
        <v/>
      </c>
      <c r="AY34" s="345">
        <f>IF(AND(W34&gt;$F$16,W34&lt;=SUM($F$16:$F$17)),$P$54,0)</f>
        <v/>
      </c>
      <c r="AZ34" s="345">
        <f>IF(AND(SUM($AQ$16:AQ33)&gt;0,SUM($AZ$16:AZ33)&lt;$P$62,$W34&gt;=$P$65),$P$64,0)</f>
        <v/>
      </c>
      <c r="BA34" s="345">
        <f>IF(SUM($AQ$17:$AQ33)&gt;0,($P$62-SUM($AZ$17:$AZ33))*$F$65,0)</f>
        <v/>
      </c>
      <c r="BB34" s="346">
        <f>SUM(AT34:AY34)</f>
        <v/>
      </c>
      <c r="BC34" s="351">
        <f>AS34-BB34</f>
        <v/>
      </c>
      <c r="BD34" s="352">
        <f>BC34*$BF34</f>
        <v/>
      </c>
      <c r="BE34" s="393" t="n"/>
      <c r="BF34" s="46">
        <f>BF33/(1+$O$22)</f>
        <v/>
      </c>
      <c r="BH34" s="350">
        <f>AT34</f>
        <v/>
      </c>
      <c r="BI34" s="350">
        <f>AU34</f>
        <v/>
      </c>
      <c r="BJ34" s="351">
        <f>AV34</f>
        <v/>
      </c>
      <c r="BK34" s="351">
        <f>AW34</f>
        <v/>
      </c>
      <c r="BL34" s="351">
        <f>AY34</f>
        <v/>
      </c>
      <c r="BM34" s="351">
        <f>IF($W34&gt;$F$16,$F$56,0)</f>
        <v/>
      </c>
      <c r="BN34" s="352">
        <f>SUM(BH34:BM34)</f>
        <v/>
      </c>
      <c r="BO34" s="351">
        <f>IF($W34=$F$16,$P$32,0)</f>
        <v/>
      </c>
      <c r="BP34" s="351">
        <f>IF(AND(W34&gt;$F$16,W34&lt;=SUM($F$16:$F$17)),$P$41,0)</f>
        <v/>
      </c>
      <c r="BQ34" s="351">
        <f>IFERROR(-IPMT($P$67,W34-$F$16,$F$17,SUM(P$31,P$51)),0)</f>
        <v/>
      </c>
      <c r="BR34" s="351">
        <f>IF($W34&lt;=$O$16,$F$105,0)</f>
        <v/>
      </c>
      <c r="BS34" s="353">
        <f>IF($W34=1,SUM($O$103,$O$105),0)</f>
        <v/>
      </c>
      <c r="BT34" s="351">
        <f>IF($W34&lt;$O$16,IF(W34=$F$16,$P$93,$P$94),0)</f>
        <v/>
      </c>
      <c r="BU34" s="352">
        <f>SUM(BO34:BP34,BR34:BT34)</f>
        <v/>
      </c>
      <c r="BV34" s="352">
        <f>BN34-BU34</f>
        <v/>
      </c>
      <c r="BW34" s="342" t="n"/>
      <c r="BX34" s="338">
        <f>IFERROR(-PPMT($P$67,$W34-$F$16,$F$17,SUM(P$31,P$51)),0)</f>
        <v/>
      </c>
      <c r="BY34" s="356">
        <f>IF(BV34-BX34&gt;=0,0,1)</f>
        <v/>
      </c>
      <c r="CA34" s="0" t="n"/>
    </row>
    <row r="35" ht="15.75" customHeight="1" s="302">
      <c r="B35" s="56" t="inlineStr">
        <is>
          <t>2.2割賦金利（％）</t>
        </is>
      </c>
      <c r="C35" s="2" t="inlineStr">
        <is>
          <t>基準金利</t>
        </is>
      </c>
      <c r="D35" s="0" t="inlineStr">
        <is>
          <t>％</t>
        </is>
      </c>
      <c r="F35" s="15" t="n">
        <v>0</v>
      </c>
      <c r="H35" s="150" t="inlineStr">
        <is>
          <t>割賦払なし</t>
        </is>
      </c>
      <c r="J35" s="102" t="inlineStr">
        <is>
          <t>2.2 サービス購入費（完工後支払）割賦金利（％）</t>
        </is>
      </c>
      <c r="P35" s="0" t="inlineStr">
        <is>
          <t>PFI-LCC</t>
        </is>
      </c>
      <c r="V35" s="58">
        <f>IF(W35=1,DATE(YEAR($F$18)+(MONTH($F$18)&gt;=4),4,0),EOMONTH(V34,12))</f>
        <v/>
      </c>
      <c r="W35" s="6" t="n">
        <v>19</v>
      </c>
      <c r="X35" s="6">
        <f>IF(W35&gt;$O$16,"-",IF($W35&lt;=$F$16,"整備期間","維持管理・運営期間"))</f>
        <v/>
      </c>
      <c r="Y35" s="344">
        <f>IF($W35=$F$16,$O$61,0)</f>
        <v/>
      </c>
      <c r="Z35" s="345">
        <f>IF($W35=$F$16,$O$63,0)</f>
        <v/>
      </c>
      <c r="AA35" s="345">
        <f>IF($W35=$F$16,$O$62,0)</f>
        <v/>
      </c>
      <c r="AB35" s="345">
        <f>IF(X35="維持管理・運営期間",$F$56,0)</f>
        <v/>
      </c>
      <c r="AC35" s="346">
        <f>SUM(Y35:Z35,AB35)</f>
        <v/>
      </c>
      <c r="AD35" s="344">
        <f>IF($W35=$F$16,$O$30,0)</f>
        <v/>
      </c>
      <c r="AE35" s="345">
        <f>IF($X35="維持管理・運営期間",$O$41,0)</f>
        <v/>
      </c>
      <c r="AF35" s="345">
        <f>IF(AND($W35&gt;0,$W35&lt;=$O$16),$E$45,0)</f>
        <v/>
      </c>
      <c r="AG35" s="345">
        <f>IF(AND(SUM($AA$16:AA34)&gt;0,SUM($AG$16:AG34)&lt;$O$62,$W35&gt;=$O$65),$O$64,0)</f>
        <v/>
      </c>
      <c r="AH35" s="351">
        <f>IF(SUM($AA$17:$AA34)&gt;0,($O$62-SUM($AG$17:$AG34))*$F$65,0)</f>
        <v/>
      </c>
      <c r="AI35" s="346">
        <f>SUM(AD35:AF35)</f>
        <v/>
      </c>
      <c r="AJ35" s="351">
        <f>AC35-AI35</f>
        <v/>
      </c>
      <c r="AK35" s="338">
        <f>(SUM($P$31,$P$51)-SUM($AU$17:AU34))*$O$109</f>
        <v/>
      </c>
      <c r="AL35" s="348" t="n"/>
      <c r="AM35" s="352">
        <f>AJ35*$BF35</f>
        <v/>
      </c>
      <c r="AN35" s="349" t="n"/>
      <c r="AO35" s="350">
        <f>IF($W35=$F$16,$P$61,0)</f>
        <v/>
      </c>
      <c r="AP35" s="351">
        <f>IF($W35=$F$16,$P$63,0)</f>
        <v/>
      </c>
      <c r="AQ35" s="351">
        <f>IF($W35=$F$16,$P$62,0)</f>
        <v/>
      </c>
      <c r="AR35" s="345">
        <f>IF($W35&lt;$O$16,IF(W35=$F$16,$U$92,$U$93),0)</f>
        <v/>
      </c>
      <c r="AS35" s="346">
        <f>SUM(AO35:AP35,AR35)</f>
        <v/>
      </c>
      <c r="AT35" s="345">
        <f>IF(W35=$F$16,$P$30,0)</f>
        <v/>
      </c>
      <c r="AU35" s="345">
        <f>IFERROR(-PPMT($P$36,W35-$F$16,$F$17,SUM(P$31,P$51)),0)</f>
        <v/>
      </c>
      <c r="AV35" s="345">
        <f>IFERROR(-IPMT($P$36,W35-$F$16,$F$17,SUM($P$31,$P$51)),0)</f>
        <v/>
      </c>
      <c r="AW35" s="345">
        <f>IF(AND(W35&gt;$F$16,W35&lt;=SUM($F$16:$F$17)),$P$43,0)</f>
        <v/>
      </c>
      <c r="AX35" s="345">
        <f>IF($W35=1,$F$44,0)+IF(AND($W35&gt;0,$W35&lt;=$O$16),$F$45,0)</f>
        <v/>
      </c>
      <c r="AY35" s="345">
        <f>IF(AND(W35&gt;$F$16,W35&lt;=SUM($F$16:$F$17)),$P$54,0)</f>
        <v/>
      </c>
      <c r="AZ35" s="345">
        <f>IF(AND(SUM($AQ$16:AQ34)&gt;0,SUM($AZ$16:AZ34)&lt;$P$62,$W35&gt;=$P$65),$P$64,0)</f>
        <v/>
      </c>
      <c r="BA35" s="345">
        <f>IF(SUM($AQ$17:$AQ34)&gt;0,($P$62-SUM($AZ$17:$AZ34))*$F$65,0)</f>
        <v/>
      </c>
      <c r="BB35" s="346">
        <f>SUM(AT35:AY35)</f>
        <v/>
      </c>
      <c r="BC35" s="351">
        <f>AS35-BB35</f>
        <v/>
      </c>
      <c r="BD35" s="352">
        <f>BC35*$BF35</f>
        <v/>
      </c>
      <c r="BE35" s="393" t="n"/>
      <c r="BF35" s="46">
        <f>BF34/(1+$O$22)</f>
        <v/>
      </c>
      <c r="BH35" s="350">
        <f>AT35</f>
        <v/>
      </c>
      <c r="BI35" s="350">
        <f>AU35</f>
        <v/>
      </c>
      <c r="BJ35" s="351">
        <f>AV35</f>
        <v/>
      </c>
      <c r="BK35" s="351">
        <f>AW35</f>
        <v/>
      </c>
      <c r="BL35" s="351">
        <f>AY35</f>
        <v/>
      </c>
      <c r="BM35" s="351">
        <f>IF($W35&gt;$F$16,$F$56,0)</f>
        <v/>
      </c>
      <c r="BN35" s="352">
        <f>SUM(BH35:BM35)</f>
        <v/>
      </c>
      <c r="BO35" s="351">
        <f>IF($W35=$F$16,$P$32,0)</f>
        <v/>
      </c>
      <c r="BP35" s="351">
        <f>IF(AND(W35&gt;$F$16,W35&lt;=SUM($F$16:$F$17)),$P$41,0)</f>
        <v/>
      </c>
      <c r="BQ35" s="351">
        <f>IFERROR(-IPMT($P$67,W35-$F$16,$F$17,SUM(P$31,P$51)),0)</f>
        <v/>
      </c>
      <c r="BR35" s="351">
        <f>IF($W35&lt;=$O$16,$F$105,0)</f>
        <v/>
      </c>
      <c r="BS35" s="353">
        <f>IF($W35=1,SUM($O$103,$O$105),0)</f>
        <v/>
      </c>
      <c r="BT35" s="351">
        <f>IF($W35&lt;$O$16,IF(W35=$F$16,$P$93,$P$94),0)</f>
        <v/>
      </c>
      <c r="BU35" s="352">
        <f>SUM(BO35:BP35,BR35:BT35)</f>
        <v/>
      </c>
      <c r="BV35" s="352">
        <f>BN35-BU35</f>
        <v/>
      </c>
      <c r="BW35" s="342" t="n"/>
      <c r="BX35" s="338">
        <f>IFERROR(-PPMT($P$67,$W35-$F$16,$F$17,SUM(P$31,P$51)),0)</f>
        <v/>
      </c>
      <c r="BY35" s="356">
        <f>IF(BV35-BX35&gt;=0,0,1)</f>
        <v/>
      </c>
      <c r="CA35" s="0" t="n"/>
    </row>
    <row r="36" ht="15.75" customHeight="1" s="302">
      <c r="C36" s="2" t="inlineStr">
        <is>
          <t>民間資金調達スプレッド</t>
        </is>
      </c>
      <c r="D36" s="0" t="inlineStr">
        <is>
          <t>％</t>
        </is>
      </c>
      <c r="F36" s="361">
        <f>F70</f>
        <v/>
      </c>
      <c r="H36" s="150" t="inlineStr">
        <is>
          <t>割賦払なし</t>
        </is>
      </c>
      <c r="J36" s="4" t="n"/>
      <c r="K36" s="56" t="inlineStr">
        <is>
          <t>割賦金利</t>
        </is>
      </c>
      <c r="N36" s="19" t="inlineStr">
        <is>
          <t>％</t>
        </is>
      </c>
      <c r="O36" s="362" t="n"/>
      <c r="P36" s="36">
        <f>SUM(F35:F37)</f>
        <v/>
      </c>
      <c r="V36" s="58">
        <f>IF(W36=1,DATE(YEAR($F$18)+(MONTH($F$18)&gt;=4),4,0),EOMONTH(V35,12))</f>
        <v/>
      </c>
      <c r="W36" s="6" t="n">
        <v>20</v>
      </c>
      <c r="X36" s="6">
        <f>IF(W36&gt;$O$16,"-",IF($W36&lt;=$F$16,"整備期間","維持管理・運営期間"))</f>
        <v/>
      </c>
      <c r="Y36" s="344">
        <f>IF($W36=$F$16,$O$61,0)</f>
        <v/>
      </c>
      <c r="Z36" s="345">
        <f>IF($W36=$F$16,$O$63,0)</f>
        <v/>
      </c>
      <c r="AA36" s="345">
        <f>IF($W36=$F$16,$O$62,0)</f>
        <v/>
      </c>
      <c r="AB36" s="345">
        <f>IF(X36="維持管理・運営期間",$F$56,0)</f>
        <v/>
      </c>
      <c r="AC36" s="346">
        <f>SUM(Y36:Z36,AB36)</f>
        <v/>
      </c>
      <c r="AD36" s="344">
        <f>IF($W36=$F$16,$O$30,0)</f>
        <v/>
      </c>
      <c r="AE36" s="345">
        <f>IF($X36="維持管理・運営期間",$O$41,0)</f>
        <v/>
      </c>
      <c r="AF36" s="345">
        <f>IF(AND($W36&gt;0,$W36&lt;=$O$16),$E$45,0)</f>
        <v/>
      </c>
      <c r="AG36" s="345">
        <f>IF(AND(SUM($AA$16:AA35)&gt;0,SUM($AG$16:AG35)&lt;$O$62,$W36&gt;=$O$65),$O$64,0)</f>
        <v/>
      </c>
      <c r="AH36" s="351">
        <f>IF(SUM($AA$17:$AA35)&gt;0,($O$62-SUM($AG$17:$AG35))*$F$65,0)</f>
        <v/>
      </c>
      <c r="AI36" s="346">
        <f>SUM(AD36:AF36)</f>
        <v/>
      </c>
      <c r="AJ36" s="351">
        <f>AC36-AI36</f>
        <v/>
      </c>
      <c r="AK36" s="338">
        <f>(SUM($P$31,$P$51)-SUM($AU$17:AU35))*$O$109</f>
        <v/>
      </c>
      <c r="AL36" s="348" t="n"/>
      <c r="AM36" s="352">
        <f>AJ36*$BF36</f>
        <v/>
      </c>
      <c r="AN36" s="349" t="n"/>
      <c r="AO36" s="350">
        <f>IF($W36=$F$16,$P$61,0)</f>
        <v/>
      </c>
      <c r="AP36" s="351">
        <f>IF($W36=$F$16,$P$63,0)</f>
        <v/>
      </c>
      <c r="AQ36" s="351">
        <f>IF($W36=$F$16,$P$62,0)</f>
        <v/>
      </c>
      <c r="AR36" s="345">
        <f>IF($W36&lt;$O$16,IF(W36=$F$16,$U$92,$U$93),0)</f>
        <v/>
      </c>
      <c r="AS36" s="346">
        <f>SUM(AO36:AP36,AR36)</f>
        <v/>
      </c>
      <c r="AT36" s="345">
        <f>IF(W36=$F$16,$P$30,0)</f>
        <v/>
      </c>
      <c r="AU36" s="345">
        <f>IFERROR(-PPMT($P$36,W36-$F$16,$F$17,SUM(P$31,P$51)),0)</f>
        <v/>
      </c>
      <c r="AV36" s="345">
        <f>IFERROR(-IPMT($P$36,W36-$F$16,$F$17,SUM($P$31,$P$51)),0)</f>
        <v/>
      </c>
      <c r="AW36" s="345">
        <f>IF(AND(W36&gt;$F$16,W36&lt;=SUM($F$16:$F$17)),$P$43,0)</f>
        <v/>
      </c>
      <c r="AX36" s="345">
        <f>IF($W36=1,$F$44,0)+IF(AND($W36&gt;0,$W36&lt;=$O$16),$F$45,0)</f>
        <v/>
      </c>
      <c r="AY36" s="345">
        <f>IF(AND(W36&gt;$F$16,W36&lt;=SUM($F$16:$F$17)),$P$54,0)</f>
        <v/>
      </c>
      <c r="AZ36" s="345">
        <f>IF(AND(SUM($AQ$16:AQ35)&gt;0,SUM($AZ$16:AZ35)&lt;$P$62,$W36&gt;=$P$65),$P$64,0)</f>
        <v/>
      </c>
      <c r="BA36" s="345">
        <f>IF(SUM($AQ$17:$AQ35)&gt;0,($P$62-SUM($AZ$17:$AZ35))*$F$65,0)</f>
        <v/>
      </c>
      <c r="BB36" s="346">
        <f>SUM(AT36:AY36)</f>
        <v/>
      </c>
      <c r="BC36" s="351">
        <f>AS36-BB36</f>
        <v/>
      </c>
      <c r="BD36" s="352">
        <f>BC36*$BF36</f>
        <v/>
      </c>
      <c r="BE36" s="393" t="n"/>
      <c r="BF36" s="46">
        <f>BF35/(1+$O$22)</f>
        <v/>
      </c>
      <c r="BH36" s="350">
        <f>AT36</f>
        <v/>
      </c>
      <c r="BI36" s="350">
        <f>AU36</f>
        <v/>
      </c>
      <c r="BJ36" s="351">
        <f>AV36</f>
        <v/>
      </c>
      <c r="BK36" s="351">
        <f>AW36</f>
        <v/>
      </c>
      <c r="BL36" s="351">
        <f>AY36</f>
        <v/>
      </c>
      <c r="BM36" s="351">
        <f>IF($W36&gt;$F$16,$F$56,0)</f>
        <v/>
      </c>
      <c r="BN36" s="352">
        <f>SUM(BH36:BM36)</f>
        <v/>
      </c>
      <c r="BO36" s="351">
        <f>IF($W36=$F$16,$P$32,0)</f>
        <v/>
      </c>
      <c r="BP36" s="351">
        <f>IF(AND(W36&gt;$F$16,W36&lt;=SUM($F$16:$F$17)),$P$41,0)</f>
        <v/>
      </c>
      <c r="BQ36" s="351">
        <f>IFERROR(-IPMT($P$67,W36-$F$16,$F$17,SUM(P$31,P$51)),0)</f>
        <v/>
      </c>
      <c r="BR36" s="351">
        <f>IF($W36&lt;=$O$16,$F$105,0)</f>
        <v/>
      </c>
      <c r="BS36" s="353">
        <f>IF($W36=1,SUM($O$103,$O$105),0)</f>
        <v/>
      </c>
      <c r="BT36" s="351">
        <f>IF($W36&lt;$O$16,IF(W36=$F$16,$P$93,$P$94),0)</f>
        <v/>
      </c>
      <c r="BU36" s="352">
        <f>SUM(BO36:BP36,BR36:BT36)</f>
        <v/>
      </c>
      <c r="BV36" s="352">
        <f>BN36-BU36</f>
        <v/>
      </c>
      <c r="BW36" s="342" t="n"/>
      <c r="BX36" s="338">
        <f>IFERROR(-PPMT($P$67,$W36-$F$16,$F$17,SUM(P$31,P$51)),0)</f>
        <v/>
      </c>
      <c r="BY36" s="356">
        <f>IF(BV36-BX36&gt;=0,0,1)</f>
        <v/>
      </c>
      <c r="CA36" s="0" t="n"/>
    </row>
    <row r="37" ht="15.75" customHeight="1" s="302">
      <c r="C37" s="2" t="inlineStr">
        <is>
          <t>スプレッド</t>
        </is>
      </c>
      <c r="D37" s="0" t="inlineStr">
        <is>
          <t>％</t>
        </is>
      </c>
      <c r="F37" s="108" t="n">
        <v>0</v>
      </c>
      <c r="H37" s="150" t="inlineStr">
        <is>
          <t>割賦払なし</t>
        </is>
      </c>
      <c r="V37" s="58">
        <f>IF(W37=1,DATE(YEAR($F$18)+(MONTH($F$18)&gt;=4),4,0),EOMONTH(V36,12))</f>
        <v/>
      </c>
      <c r="W37" s="6" t="n">
        <v>21</v>
      </c>
      <c r="X37" s="6">
        <f>IF(W37&gt;$O$16,"-",IF($W37&lt;=$F$16,"整備期間","維持管理・運営期間"))</f>
        <v/>
      </c>
      <c r="Y37" s="344">
        <f>IF($W37=$F$16,$O$61,0)</f>
        <v/>
      </c>
      <c r="Z37" s="345">
        <f>IF($W37=$F$16,$O$63,0)</f>
        <v/>
      </c>
      <c r="AA37" s="345">
        <f>IF($W37=$F$16,$O$62,0)</f>
        <v/>
      </c>
      <c r="AB37" s="345">
        <f>IF(X37="維持管理・運営期間",$F$56,0)</f>
        <v/>
      </c>
      <c r="AC37" s="346">
        <f>SUM(Y37:Z37,AB37)</f>
        <v/>
      </c>
      <c r="AD37" s="344">
        <f>IF($W37=$F$16,$O$30,0)</f>
        <v/>
      </c>
      <c r="AE37" s="345">
        <f>IF($X37="維持管理・運営期間",$O$41,0)</f>
        <v/>
      </c>
      <c r="AF37" s="345">
        <f>IF(AND($W37&gt;0,$W37&lt;=$O$16),$E$45,0)</f>
        <v/>
      </c>
      <c r="AG37" s="345">
        <f>IF(AND(SUM($AA$16:AA36)&gt;0,SUM($AG$16:AG36)&lt;$O$62,$W37&gt;=$O$65),$O$64,0)</f>
        <v/>
      </c>
      <c r="AH37" s="351">
        <f>IF(SUM($AA$17:$AA36)&gt;0,($O$62-SUM($AG$17:$AG36))*$F$65,0)</f>
        <v/>
      </c>
      <c r="AI37" s="346">
        <f>SUM(AD37:AF37)</f>
        <v/>
      </c>
      <c r="AJ37" s="351">
        <f>AC37-AI37</f>
        <v/>
      </c>
      <c r="AK37" s="338">
        <f>(SUM($P$31,$P$51)-SUM($AU$17:AU36))*$O$109</f>
        <v/>
      </c>
      <c r="AL37" s="348" t="n"/>
      <c r="AM37" s="352">
        <f>AJ37*$BF37</f>
        <v/>
      </c>
      <c r="AN37" s="349" t="n"/>
      <c r="AO37" s="350">
        <f>IF($W37=$F$16,$P$61,0)</f>
        <v/>
      </c>
      <c r="AP37" s="351">
        <f>IF($W37=$F$16,$P$63,0)</f>
        <v/>
      </c>
      <c r="AQ37" s="351">
        <f>IF($W37=$F$16,$P$62,0)</f>
        <v/>
      </c>
      <c r="AR37" s="345">
        <f>IF($W37&lt;$O$16,IF(W37=$F$16,$U$92,$U$93),0)</f>
        <v/>
      </c>
      <c r="AS37" s="346">
        <f>SUM(AO37:AP37,AR37)</f>
        <v/>
      </c>
      <c r="AT37" s="345">
        <f>IF(W37=$F$16,$P$30,0)</f>
        <v/>
      </c>
      <c r="AU37" s="345">
        <f>IFERROR(-PPMT($P$36,W37-$F$16,$F$17,SUM(P$31,P$51)),0)</f>
        <v/>
      </c>
      <c r="AV37" s="345">
        <f>IFERROR(-IPMT($P$36,W37-$F$16,$F$17,SUM($P$31,$P$51)),0)</f>
        <v/>
      </c>
      <c r="AW37" s="345">
        <f>IF(AND(W37&gt;$F$16,W37&lt;=SUM($F$16:$F$17)),$P$43,0)</f>
        <v/>
      </c>
      <c r="AX37" s="345">
        <f>IF($W37=1,$F$44,0)+IF(AND($W37&gt;0,$W37&lt;=$O$16),$F$45,0)</f>
        <v/>
      </c>
      <c r="AY37" s="345">
        <f>IF(AND(W37&gt;$F$16,W37&lt;=SUM($F$16:$F$17)),$P$54,0)</f>
        <v/>
      </c>
      <c r="AZ37" s="345">
        <f>IF(AND(SUM($AQ$16:AQ36)&gt;0,SUM($AZ$16:AZ36)&lt;$P$62,$W37&gt;=$P$65),$P$64,0)</f>
        <v/>
      </c>
      <c r="BA37" s="345">
        <f>IF(SUM($AQ$17:$AQ36)&gt;0,($P$62-SUM($AZ$17:$AZ36))*$F$65,0)</f>
        <v/>
      </c>
      <c r="BB37" s="346">
        <f>SUM(AT37:AY37)</f>
        <v/>
      </c>
      <c r="BC37" s="351">
        <f>AS37-BB37</f>
        <v/>
      </c>
      <c r="BD37" s="352">
        <f>BC37*$BF37</f>
        <v/>
      </c>
      <c r="BE37" s="393" t="n"/>
      <c r="BF37" s="46">
        <f>BF36/(1+$O$22)</f>
        <v/>
      </c>
      <c r="BH37" s="350">
        <f>AT37</f>
        <v/>
      </c>
      <c r="BI37" s="350">
        <f>AU37</f>
        <v/>
      </c>
      <c r="BJ37" s="351">
        <f>AV37</f>
        <v/>
      </c>
      <c r="BK37" s="351">
        <f>AW37</f>
        <v/>
      </c>
      <c r="BL37" s="351">
        <f>AY37</f>
        <v/>
      </c>
      <c r="BM37" s="351">
        <f>IF($W37&gt;$F$16,$F$56,0)</f>
        <v/>
      </c>
      <c r="BN37" s="352">
        <f>SUM(BH37:BM37)</f>
        <v/>
      </c>
      <c r="BO37" s="351">
        <f>IF($W37=$F$16,$P$32,0)</f>
        <v/>
      </c>
      <c r="BP37" s="351">
        <f>IF(AND(W37&gt;$F$16,W37&lt;=SUM($F$16:$F$17)),$P$41,0)</f>
        <v/>
      </c>
      <c r="BQ37" s="351">
        <f>IFERROR(-IPMT($P$67,W37-$F$16,$F$17,SUM(P$31,P$51)),0)</f>
        <v/>
      </c>
      <c r="BR37" s="351">
        <f>IF($W37&lt;=$O$16,$F$105,0)</f>
        <v/>
      </c>
      <c r="BS37" s="353">
        <f>IF($W37=1,SUM($O$103,$O$105),0)</f>
        <v/>
      </c>
      <c r="BT37" s="351">
        <f>IF($W37&lt;$O$16,IF(W37=$F$16,$P$93,$P$94),0)</f>
        <v/>
      </c>
      <c r="BU37" s="352">
        <f>SUM(BO37:BP37,BR37:BT37)</f>
        <v/>
      </c>
      <c r="BV37" s="352">
        <f>BN37-BU37</f>
        <v/>
      </c>
      <c r="BW37" s="342" t="n"/>
      <c r="BX37" s="338">
        <f>IFERROR(-PPMT($P$67,$W37-$F$16,$F$17,SUM(P$31,P$51)),0)</f>
        <v/>
      </c>
      <c r="BY37" s="356">
        <f>IF(BV37-BX37&gt;=0,0,1)</f>
        <v/>
      </c>
      <c r="CA37" s="0" t="n"/>
    </row>
    <row r="38" ht="15.75" customHeight="1" s="302">
      <c r="C38" s="99" t="n"/>
      <c r="D38" s="101" t="inlineStr">
        <is>
          <t>Checks:割賦＞SPC収支</t>
        </is>
      </c>
      <c r="E38" s="100" t="n"/>
      <c r="F38" s="363">
        <f>BY15</f>
        <v/>
      </c>
      <c r="V38" s="58">
        <f>IF(W38=1,DATE(YEAR($F$18)+(MONTH($F$18)&gt;=4),4,0),EOMONTH(V37,12))</f>
        <v/>
      </c>
      <c r="W38" s="6" t="n">
        <v>22</v>
      </c>
      <c r="X38" s="6">
        <f>IF(W38&gt;$O$16,"-",IF($W38&lt;=$F$16,"整備期間","維持管理・運営期間"))</f>
        <v/>
      </c>
      <c r="Y38" s="344">
        <f>IF($W38=$F$16,$O$61,0)</f>
        <v/>
      </c>
      <c r="Z38" s="345">
        <f>IF($W38=$F$16,$O$63,0)</f>
        <v/>
      </c>
      <c r="AA38" s="345">
        <f>IF($W38=$F$16,$O$62,0)</f>
        <v/>
      </c>
      <c r="AB38" s="345">
        <f>IF(X38="維持管理・運営期間",$F$56,0)</f>
        <v/>
      </c>
      <c r="AC38" s="346">
        <f>SUM(Y38:Z38,AB38)</f>
        <v/>
      </c>
      <c r="AD38" s="344">
        <f>IF($W38=$F$16,$O$30,0)</f>
        <v/>
      </c>
      <c r="AE38" s="345">
        <f>IF($X38="維持管理・運営期間",$O$41,0)</f>
        <v/>
      </c>
      <c r="AF38" s="345">
        <f>IF(AND($W38&gt;0,$W38&lt;=$O$16),$E$45,0)</f>
        <v/>
      </c>
      <c r="AG38" s="345">
        <f>IF(AND(SUM($AA$16:AA37)&gt;0,SUM($AG$16:AG37)&lt;$O$62,$W38&gt;=$O$65),$O$64,0)</f>
        <v/>
      </c>
      <c r="AH38" s="351">
        <f>IF(SUM($AA$17:$AA37)&gt;0,($O$62-SUM($AG$17:$AG37))*$F$65,0)</f>
        <v/>
      </c>
      <c r="AI38" s="346">
        <f>SUM(AD38:AF38)</f>
        <v/>
      </c>
      <c r="AJ38" s="351">
        <f>AC38-AI38</f>
        <v/>
      </c>
      <c r="AK38" s="338">
        <f>(SUM($P$31,$P$51)-SUM($AU$17:AU37))*$O$109</f>
        <v/>
      </c>
      <c r="AL38" s="348" t="n"/>
      <c r="AM38" s="352">
        <f>AJ38*$BF38</f>
        <v/>
      </c>
      <c r="AN38" s="349" t="n"/>
      <c r="AO38" s="350">
        <f>IF($W38=$F$16,$P$61,0)</f>
        <v/>
      </c>
      <c r="AP38" s="351">
        <f>IF($W38=$F$16,$P$63,0)</f>
        <v/>
      </c>
      <c r="AQ38" s="351">
        <f>IF($W38=$F$16,$P$62,0)</f>
        <v/>
      </c>
      <c r="AR38" s="345">
        <f>IF($W38&lt;$O$16,IF(W38=$F$16,$U$92,$U$93),0)</f>
        <v/>
      </c>
      <c r="AS38" s="346">
        <f>SUM(AO38:AP38,AR38)</f>
        <v/>
      </c>
      <c r="AT38" s="345">
        <f>IF(W38=$F$16,$P$30,0)</f>
        <v/>
      </c>
      <c r="AU38" s="345">
        <f>IFERROR(-PPMT($P$36,W38-$F$16,$F$17,SUM(P$31,P$51)),0)</f>
        <v/>
      </c>
      <c r="AV38" s="345">
        <f>IFERROR(-IPMT($P$36,W38-$F$16,$F$17,SUM($P$31,$P$51)),0)</f>
        <v/>
      </c>
      <c r="AW38" s="345">
        <f>IF(AND(W38&gt;$F$16,W38&lt;=SUM($F$16:$F$17)),$P$43,0)</f>
        <v/>
      </c>
      <c r="AX38" s="345">
        <f>IF($W38=1,$F$44,0)+IF(AND($W38&gt;0,$W38&lt;=$O$16),$F$45,0)</f>
        <v/>
      </c>
      <c r="AY38" s="345">
        <f>IF(AND(W38&gt;$F$16,W38&lt;=SUM($F$16:$F$17)),$P$54,0)</f>
        <v/>
      </c>
      <c r="AZ38" s="345">
        <f>IF(AND(SUM($AQ$16:AQ37)&gt;0,SUM($AZ$16:AZ37)&lt;$P$62,$W38&gt;=$P$65),$P$64,0)</f>
        <v/>
      </c>
      <c r="BA38" s="345">
        <f>IF(SUM($AQ$17:$AQ37)&gt;0,($P$62-SUM($AZ$17:$AZ37))*$F$65,0)</f>
        <v/>
      </c>
      <c r="BB38" s="346">
        <f>SUM(AT38:AY38)</f>
        <v/>
      </c>
      <c r="BC38" s="351">
        <f>AS38-BB38</f>
        <v/>
      </c>
      <c r="BD38" s="352">
        <f>BC38*$BF38</f>
        <v/>
      </c>
      <c r="BE38" s="393" t="n"/>
      <c r="BF38" s="46">
        <f>BF37/(1+$O$22)</f>
        <v/>
      </c>
      <c r="BH38" s="350">
        <f>AT38</f>
        <v/>
      </c>
      <c r="BI38" s="350">
        <f>AU38</f>
        <v/>
      </c>
      <c r="BJ38" s="351">
        <f>AV38</f>
        <v/>
      </c>
      <c r="BK38" s="351">
        <f>AW38</f>
        <v/>
      </c>
      <c r="BL38" s="351">
        <f>AY38</f>
        <v/>
      </c>
      <c r="BM38" s="351">
        <f>IF($W38&gt;$F$16,$F$56,0)</f>
        <v/>
      </c>
      <c r="BN38" s="352">
        <f>SUM(BH38:BM38)</f>
        <v/>
      </c>
      <c r="BO38" s="351">
        <f>IF($W38=$F$16,$P$32,0)</f>
        <v/>
      </c>
      <c r="BP38" s="351">
        <f>IF(AND(W38&gt;$F$16,W38&lt;=SUM($F$16:$F$17)),$P$41,0)</f>
        <v/>
      </c>
      <c r="BQ38" s="351">
        <f>IFERROR(-IPMT($P$67,W38-$F$16,$F$17,SUM(P$31,P$51)),0)</f>
        <v/>
      </c>
      <c r="BR38" s="351">
        <f>IF($W38&lt;=$O$16,$F$105,0)</f>
        <v/>
      </c>
      <c r="BS38" s="353">
        <f>IF($W38=1,SUM($O$103,$O$105),0)</f>
        <v/>
      </c>
      <c r="BT38" s="351">
        <f>IF($W38&lt;$O$16,IF(W38=$F$16,$P$93,$P$94),0)</f>
        <v/>
      </c>
      <c r="BU38" s="352">
        <f>SUM(BO38:BP38,BR38:BT38)</f>
        <v/>
      </c>
      <c r="BV38" s="352">
        <f>BN38-BU38</f>
        <v/>
      </c>
      <c r="BW38" s="342" t="n"/>
      <c r="BX38" s="338">
        <f>IFERROR(-PPMT($P$67,$W38-$F$16,$F$17,SUM(P$31,P$51)),0)</f>
        <v/>
      </c>
      <c r="BY38" s="356">
        <f>IF(BV38-BX38&gt;=0,0,1)</f>
        <v/>
      </c>
      <c r="CA38" s="0" t="n"/>
    </row>
    <row r="39" ht="15.75" customHeight="1" s="302">
      <c r="V39" s="58">
        <f>IF(W39=1,DATE(YEAR($F$18)+(MONTH($F$18)&gt;=4),4,0),EOMONTH(V38,12))</f>
        <v/>
      </c>
      <c r="W39" s="6" t="n">
        <v>23</v>
      </c>
      <c r="X39" s="6">
        <f>IF(W39&gt;$O$16,"-",IF($W39&lt;=$F$16,"整備期間","維持管理・運営期間"))</f>
        <v/>
      </c>
      <c r="Y39" s="344">
        <f>IF($W39=$F$16,$O$61,0)</f>
        <v/>
      </c>
      <c r="Z39" s="345">
        <f>IF($W39=$F$16,$O$63,0)</f>
        <v/>
      </c>
      <c r="AA39" s="345">
        <f>IF($W39=$F$16,$O$62,0)</f>
        <v/>
      </c>
      <c r="AB39" s="345">
        <f>IF(X39="維持管理・運営期間",$F$56,0)</f>
        <v/>
      </c>
      <c r="AC39" s="346">
        <f>SUM(Y39:Z39,AB39)</f>
        <v/>
      </c>
      <c r="AD39" s="344">
        <f>IF($W39=$F$16,$O$30,0)</f>
        <v/>
      </c>
      <c r="AE39" s="345">
        <f>IF($X39="維持管理・運営期間",$O$41,0)</f>
        <v/>
      </c>
      <c r="AF39" s="345">
        <f>IF(AND($W39&gt;0,$W39&lt;=$O$16),$E$45,0)</f>
        <v/>
      </c>
      <c r="AG39" s="345">
        <f>IF(AND(SUM($AA$16:AA38)&gt;0,SUM($AG$16:AG38)&lt;$O$62,$W39&gt;=$O$65),$O$64,0)</f>
        <v/>
      </c>
      <c r="AH39" s="351">
        <f>IF(SUM($AA$17:$AA38)&gt;0,($O$62-SUM($AG$17:$AG38))*$F$65,0)</f>
        <v/>
      </c>
      <c r="AI39" s="346">
        <f>SUM(AD39:AF39)</f>
        <v/>
      </c>
      <c r="AJ39" s="351">
        <f>AC39-AI39</f>
        <v/>
      </c>
      <c r="AK39" s="338">
        <f>(SUM($P$31,$P$51)-SUM($AU$17:AU38))*$O$109</f>
        <v/>
      </c>
      <c r="AL39" s="348" t="n"/>
      <c r="AM39" s="352">
        <f>AJ39*$BF39</f>
        <v/>
      </c>
      <c r="AN39" s="349" t="n"/>
      <c r="AO39" s="350">
        <f>IF($W39=$F$16,$P$61,0)</f>
        <v/>
      </c>
      <c r="AP39" s="351">
        <f>IF($W39=$F$16,$P$63,0)</f>
        <v/>
      </c>
      <c r="AQ39" s="351">
        <f>IF($W39=$F$16,$P$62,0)</f>
        <v/>
      </c>
      <c r="AR39" s="345">
        <f>IF($W39&lt;$O$16,IF(W39=$F$16,$U$92,$U$93),0)</f>
        <v/>
      </c>
      <c r="AS39" s="346">
        <f>SUM(AO39:AP39,AR39)</f>
        <v/>
      </c>
      <c r="AT39" s="345">
        <f>IF(W39=$F$16,$P$30,0)</f>
        <v/>
      </c>
      <c r="AU39" s="345">
        <f>IFERROR(-PPMT($P$36,W39-$F$16,$F$17,SUM(P$31,P$51)),0)</f>
        <v/>
      </c>
      <c r="AV39" s="345">
        <f>IFERROR(-IPMT($P$36,W39-$F$16,$F$17,SUM($P$31,$P$51)),0)</f>
        <v/>
      </c>
      <c r="AW39" s="345">
        <f>IF(AND(W39&gt;$F$16,W39&lt;=SUM($F$16:$F$17)),$P$43,0)</f>
        <v/>
      </c>
      <c r="AX39" s="345">
        <f>IF($W39=1,$F$44,0)+IF(AND($W39&gt;0,$W39&lt;=$O$16),$F$45,0)</f>
        <v/>
      </c>
      <c r="AY39" s="345">
        <f>IF(AND(W39&gt;$F$16,W39&lt;=SUM($F$16:$F$17)),$P$54,0)</f>
        <v/>
      </c>
      <c r="AZ39" s="345">
        <f>IF(AND(SUM($AQ$16:AQ38)&gt;0,SUM($AZ$16:AZ38)&lt;$P$62,$W39&gt;=$P$65),$P$64,0)</f>
        <v/>
      </c>
      <c r="BA39" s="345">
        <f>IF(SUM($AQ$17:$AQ38)&gt;0,($P$62-SUM($AZ$17:$AZ38))*$F$65,0)</f>
        <v/>
      </c>
      <c r="BB39" s="346">
        <f>SUM(AT39:AY39)</f>
        <v/>
      </c>
      <c r="BC39" s="351">
        <f>AS39-BB39</f>
        <v/>
      </c>
      <c r="BD39" s="352">
        <f>BC39*$BF39</f>
        <v/>
      </c>
      <c r="BE39" s="393" t="n"/>
      <c r="BF39" s="46">
        <f>BF38/(1+$O$22)</f>
        <v/>
      </c>
      <c r="BH39" s="350">
        <f>AT39</f>
        <v/>
      </c>
      <c r="BI39" s="350">
        <f>AU39</f>
        <v/>
      </c>
      <c r="BJ39" s="351">
        <f>AV39</f>
        <v/>
      </c>
      <c r="BK39" s="351">
        <f>AW39</f>
        <v/>
      </c>
      <c r="BL39" s="351">
        <f>AY39</f>
        <v/>
      </c>
      <c r="BM39" s="351">
        <f>IF($W39&gt;$F$16,$F$56,0)</f>
        <v/>
      </c>
      <c r="BN39" s="352">
        <f>SUM(BH39:BM39)</f>
        <v/>
      </c>
      <c r="BO39" s="351">
        <f>IF($W39=$F$16,$P$32,0)</f>
        <v/>
      </c>
      <c r="BP39" s="351">
        <f>IF(AND(W39&gt;$F$16,W39&lt;=SUM($F$16:$F$17)),$P$41,0)</f>
        <v/>
      </c>
      <c r="BQ39" s="351">
        <f>IFERROR(-IPMT($P$67,W39-$F$16,$F$17,SUM(P$31,P$51)),0)</f>
        <v/>
      </c>
      <c r="BR39" s="351">
        <f>IF($W39&lt;=$O$16,$F$105,0)</f>
        <v/>
      </c>
      <c r="BS39" s="353">
        <f>IF($W39=1,SUM($O$103,$O$105),0)</f>
        <v/>
      </c>
      <c r="BT39" s="351">
        <f>IF($W39&lt;$O$16,IF(W39=$F$16,$P$93,$P$94),0)</f>
        <v/>
      </c>
      <c r="BU39" s="352">
        <f>SUM(BO39:BP39,BR39:BT39)</f>
        <v/>
      </c>
      <c r="BV39" s="352">
        <f>BN39-BU39</f>
        <v/>
      </c>
      <c r="BW39" s="342" t="n"/>
      <c r="BX39" s="338">
        <f>IFERROR(-PPMT($P$67,$W39-$F$16,$F$17,SUM(P$31,P$51)),0)</f>
        <v/>
      </c>
      <c r="BY39" s="356">
        <f>IF(BV39-BX39&gt;=0,0,1)</f>
        <v/>
      </c>
      <c r="CA39" s="0" t="n"/>
    </row>
    <row r="40" ht="15.75" customHeight="1" s="302">
      <c r="B40" s="0" t="inlineStr">
        <is>
          <t>2.3維持管理運営費用（年額）</t>
        </is>
      </c>
      <c r="D40" s="0" t="inlineStr">
        <is>
          <t>百万円</t>
        </is>
      </c>
      <c r="F40" s="139" t="n"/>
      <c r="H40" s="72" t="inlineStr">
        <is>
          <t>維持管理・運営なし</t>
        </is>
      </c>
      <c r="J40" s="4" t="inlineStr">
        <is>
          <t>2.3 維持管理運営費用（年額）</t>
        </is>
      </c>
      <c r="V40" s="58">
        <f>IF(W40=1,DATE(YEAR($F$18)+(MONTH($F$18)&gt;=4),4,0),EOMONTH(V39,12))</f>
        <v/>
      </c>
      <c r="W40" s="6" t="n">
        <v>24</v>
      </c>
      <c r="X40" s="282">
        <f>IF(W40&gt;$O$16,"-",IF($W40&lt;=$F$16,"整備期間","維持管理・運営期間"))</f>
        <v/>
      </c>
      <c r="Y40" s="344">
        <f>IF($W40=$F$16,$O$61,0)</f>
        <v/>
      </c>
      <c r="Z40" s="345">
        <f>IF($W40=$F$16,$O$63,0)</f>
        <v/>
      </c>
      <c r="AA40" s="345">
        <f>IF($W40=$F$16,$O$62,0)</f>
        <v/>
      </c>
      <c r="AB40" s="345">
        <f>IF(X40="維持管理・運営期間",$F$56,0)</f>
        <v/>
      </c>
      <c r="AC40" s="346">
        <f>SUM(Y40:Z40,AB40)</f>
        <v/>
      </c>
      <c r="AD40" s="344">
        <f>IF($W40=$F$16,$O$30,0)</f>
        <v/>
      </c>
      <c r="AE40" s="345">
        <f>IF($X40="維持管理・運営期間",$O$41,0)</f>
        <v/>
      </c>
      <c r="AF40" s="345">
        <f>IF(AND($W40&gt;0,$W40&lt;=$O$16),$E$45,0)</f>
        <v/>
      </c>
      <c r="AG40" s="345">
        <f>IF(AND(SUM($AA$16:AA39)&gt;0,SUM($AG$16:AG39)&lt;$O$62,$W40&gt;=$O$65),$O$64,0)</f>
        <v/>
      </c>
      <c r="AH40" s="351">
        <f>IF(SUM($AA$17:$AA39)&gt;0,($O$62-SUM($AG$17:$AG39))*$F$65,0)</f>
        <v/>
      </c>
      <c r="AI40" s="346">
        <f>SUM(AD40:AF40)</f>
        <v/>
      </c>
      <c r="AJ40" s="351">
        <f>AC40-AI40</f>
        <v/>
      </c>
      <c r="AK40" s="338">
        <f>(SUM($P$31,$P$51)-SUM($AU$17:AU39))*$O$109</f>
        <v/>
      </c>
      <c r="AL40" s="348" t="n"/>
      <c r="AM40" s="352">
        <f>AJ40*$BF40</f>
        <v/>
      </c>
      <c r="AN40" s="349" t="n"/>
      <c r="AO40" s="350">
        <f>IF($W40=$F$16,$P$61,0)</f>
        <v/>
      </c>
      <c r="AP40" s="351">
        <f>IF($W40=$F$16,$P$63,0)</f>
        <v/>
      </c>
      <c r="AQ40" s="351">
        <f>IF($W40=$F$16,$P$62,0)</f>
        <v/>
      </c>
      <c r="AR40" s="345">
        <f>IF($W40&lt;$O$16,IF(W40=$F$16,$U$92,$U$93),0)</f>
        <v/>
      </c>
      <c r="AS40" s="346">
        <f>SUM(AO40:AP40,AR40)</f>
        <v/>
      </c>
      <c r="AT40" s="345">
        <f>IF(W40=$F$16,$P$30,0)</f>
        <v/>
      </c>
      <c r="AU40" s="345">
        <f>IFERROR(-PPMT($P$36,W40-$F$16,$F$17,SUM(P$31,P$51)),0)</f>
        <v/>
      </c>
      <c r="AV40" s="345">
        <f>IFERROR(-IPMT($P$36,W40-$F$16,$F$17,SUM($P$31,$P$51)),0)</f>
        <v/>
      </c>
      <c r="AW40" s="345">
        <f>IF(AND(W40&gt;$F$16,W40&lt;=SUM($F$16:$F$17)),$P$43,0)</f>
        <v/>
      </c>
      <c r="AX40" s="345">
        <f>IF($W40=1,$F$44,0)+IF(AND($W40&gt;0,$W40&lt;=$O$16),$F$45,0)</f>
        <v/>
      </c>
      <c r="AY40" s="345">
        <f>IF(AND(W40&gt;$F$16,W40&lt;=SUM($F$16:$F$17)),$P$54,0)</f>
        <v/>
      </c>
      <c r="AZ40" s="345">
        <f>IF(AND(SUM($AQ$16:AQ39)&gt;0,SUM($AZ$16:AZ39)&lt;$P$62,$W40&gt;=$P$65),$P$64,0)</f>
        <v/>
      </c>
      <c r="BA40" s="345">
        <f>IF(SUM($AQ$17:$AQ39)&gt;0,($P$62-SUM($AZ$17:$AZ39))*$F$65,0)</f>
        <v/>
      </c>
      <c r="BB40" s="346">
        <f>SUM(AT40:AY40)</f>
        <v/>
      </c>
      <c r="BC40" s="351">
        <f>AS40-BB40</f>
        <v/>
      </c>
      <c r="BD40" s="352">
        <f>BC40*$BF40</f>
        <v/>
      </c>
      <c r="BE40" s="393" t="n"/>
      <c r="BF40" s="46">
        <f>BF39/(1+$O$22)</f>
        <v/>
      </c>
      <c r="BH40" s="350">
        <f>AT40</f>
        <v/>
      </c>
      <c r="BI40" s="350">
        <f>AU40</f>
        <v/>
      </c>
      <c r="BJ40" s="351">
        <f>AV40</f>
        <v/>
      </c>
      <c r="BK40" s="351">
        <f>AW40</f>
        <v/>
      </c>
      <c r="BL40" s="351">
        <f>AY40</f>
        <v/>
      </c>
      <c r="BM40" s="351">
        <f>IF($W40&gt;$F$16,$F$56,0)</f>
        <v/>
      </c>
      <c r="BN40" s="352">
        <f>SUM(BH40:BM40)</f>
        <v/>
      </c>
      <c r="BO40" s="351">
        <f>IF($W40=$F$16,$P$32,0)</f>
        <v/>
      </c>
      <c r="BP40" s="351">
        <f>IF(AND(W40&gt;$F$16,W40&lt;=SUM($F$16:$F$17)),$P$41,0)</f>
        <v/>
      </c>
      <c r="BQ40" s="351">
        <f>IFERROR(-IPMT($P$67,W40-$F$16,$F$17,SUM(P$31,P$51)),0)</f>
        <v/>
      </c>
      <c r="BR40" s="351">
        <f>IF($W40&lt;=$O$16,$F$105,0)</f>
        <v/>
      </c>
      <c r="BS40" s="353">
        <f>IF($W40=1,SUM($O$103,$O$105),0)</f>
        <v/>
      </c>
      <c r="BT40" s="351">
        <f>IF($W40&lt;$O$16,IF(W40=$F$16,$P$93,$P$94),0)</f>
        <v/>
      </c>
      <c r="BU40" s="352">
        <f>SUM(BO40:BP40,BR40:BT40)</f>
        <v/>
      </c>
      <c r="BV40" s="352">
        <f>BN40-BU40</f>
        <v/>
      </c>
      <c r="BW40" s="342" t="n"/>
      <c r="BX40" s="338">
        <f>IFERROR(-PPMT($P$67,$W40-$F$16,$F$17,SUM(P$31,P$51)),0)</f>
        <v/>
      </c>
      <c r="BY40" s="356">
        <f>IF(BV40-BX40&gt;=0,0,1)</f>
        <v/>
      </c>
      <c r="CA40" s="0" t="n"/>
    </row>
    <row r="41" ht="15.75" customHeight="1" s="302">
      <c r="C41" s="2" t="inlineStr">
        <is>
          <t>うち、過去の落札価格を反映</t>
        </is>
      </c>
      <c r="D41" s="0" t="inlineStr">
        <is>
          <t>百万円</t>
        </is>
      </c>
      <c r="F41" s="139" t="n"/>
      <c r="K41" s="0" t="inlineStr">
        <is>
          <t>維持管理運営費用（年額）</t>
        </is>
      </c>
      <c r="N41" s="19" t="inlineStr">
        <is>
          <t>百万円</t>
        </is>
      </c>
      <c r="O41" s="362" t="n"/>
      <c r="P41" s="362" t="n"/>
      <c r="Q41" s="0" t="inlineStr">
        <is>
          <t>PSCは競争の効果反映、LCCは削減率を反映</t>
        </is>
      </c>
      <c r="V41" s="58">
        <f>IF(W41=1,DATE(YEAR($F$18)+(MONTH($F$18)&gt;=4),4,0),EOMONTH(V40,12))</f>
        <v/>
      </c>
      <c r="W41" s="6" t="n">
        <v>25</v>
      </c>
      <c r="X41" s="282">
        <f>IF(W41&gt;$O$16,"-",IF($W41&lt;=$F$16,"整備期間","維持管理・運営期間"))</f>
        <v/>
      </c>
      <c r="Y41" s="344">
        <f>IF($W41=$F$16,$O$61,0)</f>
        <v/>
      </c>
      <c r="Z41" s="345">
        <f>IF($W41=$F$16,$O$63,0)</f>
        <v/>
      </c>
      <c r="AA41" s="345">
        <f>IF($W41=$F$16,$O$62,0)</f>
        <v/>
      </c>
      <c r="AB41" s="345">
        <f>IF(X41="維持管理・運営期間",$F$56,0)</f>
        <v/>
      </c>
      <c r="AC41" s="346">
        <f>SUM(Y41:Z41,AB41)</f>
        <v/>
      </c>
      <c r="AD41" s="344">
        <f>IF($W41=$F$16,$O$30,0)</f>
        <v/>
      </c>
      <c r="AE41" s="345">
        <f>IF($X41="維持管理・運営期間",$O$41,0)</f>
        <v/>
      </c>
      <c r="AF41" s="345">
        <f>IF(AND($W41&gt;0,$W41&lt;=$O$16),$E$45,0)</f>
        <v/>
      </c>
      <c r="AG41" s="345">
        <f>IF(AND(SUM($AA$16:AA40)&gt;0,SUM($AG$16:AG40)&lt;$O$62,$W41&gt;=$O$65),$O$64,0)</f>
        <v/>
      </c>
      <c r="AH41" s="351">
        <f>IF(SUM($AA$17:$AA40)&gt;0,($O$62-SUM($AG$17:$AG40))*$F$65,0)</f>
        <v/>
      </c>
      <c r="AI41" s="346">
        <f>SUM(AD41:AF41)</f>
        <v/>
      </c>
      <c r="AJ41" s="351">
        <f>AC41-AI41</f>
        <v/>
      </c>
      <c r="AK41" s="338">
        <f>(SUM($P$31,$P$51)-SUM($AU$17:AU40))*$O$109</f>
        <v/>
      </c>
      <c r="AL41" s="348" t="n"/>
      <c r="AM41" s="352">
        <f>AJ41*$BF41</f>
        <v/>
      </c>
      <c r="AN41" s="349" t="n"/>
      <c r="AO41" s="350">
        <f>IF($W41=$F$16,$P$61,0)</f>
        <v/>
      </c>
      <c r="AP41" s="351">
        <f>IF($W41=$F$16,$P$63,0)</f>
        <v/>
      </c>
      <c r="AQ41" s="351">
        <f>IF($W41=$F$16,$P$62,0)</f>
        <v/>
      </c>
      <c r="AR41" s="345">
        <f>IF($W41&lt;$O$16,IF(W41=$F$16,$U$92,$U$93),0)</f>
        <v/>
      </c>
      <c r="AS41" s="346">
        <f>SUM(AO41:AP41,AR41)</f>
        <v/>
      </c>
      <c r="AT41" s="345">
        <f>IF(W41=$F$16,$P$30,0)</f>
        <v/>
      </c>
      <c r="AU41" s="345">
        <f>IFERROR(-PPMT($P$36,W41-$F$16,$F$17,SUM(P$31,P$51)),0)</f>
        <v/>
      </c>
      <c r="AV41" s="345">
        <f>IFERROR(-IPMT($P$36,W41-$F$16,$F$17,SUM($P$31,$P$51)),0)</f>
        <v/>
      </c>
      <c r="AW41" s="345">
        <f>IF(AND(W41&gt;$F$16,W41&lt;=SUM($F$16:$F$17)),$P$43,0)</f>
        <v/>
      </c>
      <c r="AX41" s="345">
        <f>IF($W41=1,$F$44,0)+IF(AND($W41&gt;0,$W41&lt;=$O$16),$F$45,0)</f>
        <v/>
      </c>
      <c r="AY41" s="345">
        <f>IF(AND(W41&gt;$F$16,W41&lt;=SUM($F$16:$F$17)),$P$54,0)</f>
        <v/>
      </c>
      <c r="AZ41" s="345">
        <f>IF(AND(SUM($AQ$16:AQ40)&gt;0,SUM($AZ$16:AZ40)&lt;$P$62,$W41&gt;=$P$65),$P$64,0)</f>
        <v/>
      </c>
      <c r="BA41" s="345">
        <f>IF(SUM($AQ$17:$AQ40)&gt;0,($P$62-SUM($AZ$17:$AZ40))*$F$65,0)</f>
        <v/>
      </c>
      <c r="BB41" s="346">
        <f>SUM(AT41:AY41)</f>
        <v/>
      </c>
      <c r="BC41" s="351">
        <f>AS41-BB41</f>
        <v/>
      </c>
      <c r="BD41" s="352">
        <f>BC41*$BF41</f>
        <v/>
      </c>
      <c r="BE41" s="393" t="n"/>
      <c r="BF41" s="46">
        <f>BF40/(1+$O$22)</f>
        <v/>
      </c>
      <c r="BH41" s="350">
        <f>AT41</f>
        <v/>
      </c>
      <c r="BI41" s="350">
        <f>AU41</f>
        <v/>
      </c>
      <c r="BJ41" s="351">
        <f>AV41</f>
        <v/>
      </c>
      <c r="BK41" s="351">
        <f>AW41</f>
        <v/>
      </c>
      <c r="BL41" s="351">
        <f>AY41</f>
        <v/>
      </c>
      <c r="BM41" s="351">
        <f>IF($W41&gt;$F$16,$F$56,0)</f>
        <v/>
      </c>
      <c r="BN41" s="352">
        <f>SUM(BH41:BM41)</f>
        <v/>
      </c>
      <c r="BO41" s="351">
        <f>IF($W41=$F$16,$P$32,0)</f>
        <v/>
      </c>
      <c r="BP41" s="351">
        <f>IF(AND(W41&gt;$F$16,W41&lt;=SUM($F$16:$F$17)),$P$41,0)</f>
        <v/>
      </c>
      <c r="BQ41" s="351">
        <f>IFERROR(-IPMT($P$67,W41-$F$16,$F$17,SUM(P$31,P$51)),0)</f>
        <v/>
      </c>
      <c r="BR41" s="351">
        <f>IF($W41&lt;=$O$16,$F$105,0)</f>
        <v/>
      </c>
      <c r="BS41" s="353">
        <f>IF($W41=1,SUM($O$103,$O$105),0)</f>
        <v/>
      </c>
      <c r="BT41" s="351">
        <f>IF($W41&lt;$O$16,IF(W41=$F$16,$P$93,$P$94),0)</f>
        <v/>
      </c>
      <c r="BU41" s="352">
        <f>SUM(BO41:BP41,BR41:BT41)</f>
        <v/>
      </c>
      <c r="BV41" s="352">
        <f>BN41-BU41</f>
        <v/>
      </c>
      <c r="BW41" s="342" t="n"/>
      <c r="BX41" s="338">
        <f>IFERROR(-PPMT($P$67,$W41-$F$16,$F$17,SUM(P$31,P$51)),0)</f>
        <v/>
      </c>
      <c r="BY41" s="356">
        <f>IF(BV41-BX41&gt;=0,0,1)</f>
        <v/>
      </c>
      <c r="CA41" s="0" t="n"/>
    </row>
    <row r="42" ht="15.75" customHeight="1" s="302">
      <c r="C42" s="2" t="inlineStr">
        <is>
          <t>うち、予定価格を反映</t>
        </is>
      </c>
      <c r="D42" s="0" t="inlineStr">
        <is>
          <t>百万円</t>
        </is>
      </c>
      <c r="F42" s="139" t="n"/>
      <c r="K42" s="0" t="inlineStr">
        <is>
          <t>利用料金収入</t>
        </is>
      </c>
      <c r="N42" s="19" t="inlineStr">
        <is>
          <t>百万円</t>
        </is>
      </c>
      <c r="O42" s="362" t="n"/>
      <c r="P42" s="362" t="n"/>
      <c r="Q42" s="0" t="inlineStr">
        <is>
          <t>サービス購入費から控除</t>
        </is>
      </c>
      <c r="V42" s="58">
        <f>IF(W42=1,DATE(YEAR($F$18)+(MONTH($F$18)&gt;=4),4,0),EOMONTH(V41,12))</f>
        <v/>
      </c>
      <c r="W42" s="6" t="n">
        <v>26</v>
      </c>
      <c r="X42" s="282">
        <f>IF(W42&gt;$O$16,"-",IF($W42&lt;=$F$16,"整備期間","維持管理・運営期間"))</f>
        <v/>
      </c>
      <c r="Y42" s="344">
        <f>IF($W42=$F$16,$O$61,0)</f>
        <v/>
      </c>
      <c r="Z42" s="345">
        <f>IF($W42=$F$16,$O$63,0)</f>
        <v/>
      </c>
      <c r="AA42" s="345">
        <f>IF($W42=$F$16,$O$62,0)</f>
        <v/>
      </c>
      <c r="AB42" s="345">
        <f>IF(X42="維持管理・運営期間",$F$56,0)</f>
        <v/>
      </c>
      <c r="AC42" s="346">
        <f>SUM(Y42:Z42,AB42)</f>
        <v/>
      </c>
      <c r="AD42" s="344">
        <f>IF($W42=$F$16,$O$30,0)</f>
        <v/>
      </c>
      <c r="AE42" s="345">
        <f>IF($X42="維持管理・運営期間",$O$41,0)</f>
        <v/>
      </c>
      <c r="AF42" s="345">
        <f>IF(AND($W42&gt;0,$W42&lt;=$O$16),$E$45,0)</f>
        <v/>
      </c>
      <c r="AG42" s="345">
        <f>IF(AND(SUM($AA$16:AA41)&gt;0,SUM($AG$16:AG41)&lt;$O$62,$W42&gt;=$O$65),$O$64,0)</f>
        <v/>
      </c>
      <c r="AH42" s="351">
        <f>IF(SUM($AA$17:$AA41)&gt;0,($O$62-SUM($AG$17:$AG41))*$F$65,0)</f>
        <v/>
      </c>
      <c r="AI42" s="346">
        <f>SUM(AD42:AF42)</f>
        <v/>
      </c>
      <c r="AJ42" s="351">
        <f>AC42-AI42</f>
        <v/>
      </c>
      <c r="AK42" s="338">
        <f>(SUM($P$31,$P$51)-SUM($AU$17:AU41))*$O$109</f>
        <v/>
      </c>
      <c r="AL42" s="348" t="n"/>
      <c r="AM42" s="352">
        <f>AJ42*$BF42</f>
        <v/>
      </c>
      <c r="AN42" s="349" t="n"/>
      <c r="AO42" s="350">
        <f>IF($W42=$F$16,$P$61,0)</f>
        <v/>
      </c>
      <c r="AP42" s="351">
        <f>IF($W42=$F$16,$P$63,0)</f>
        <v/>
      </c>
      <c r="AQ42" s="351">
        <f>IF($W42=$F$16,$P$62,0)</f>
        <v/>
      </c>
      <c r="AR42" s="345">
        <f>IF($W42&lt;$O$16,IF(W42=$F$16,$U$92,$U$93),0)</f>
        <v/>
      </c>
      <c r="AS42" s="346">
        <f>SUM(AO42:AP42,AR42)</f>
        <v/>
      </c>
      <c r="AT42" s="345">
        <f>IF(W42=$F$16,$P$30,0)</f>
        <v/>
      </c>
      <c r="AU42" s="345">
        <f>IFERROR(-PPMT($P$36,W42-$F$16,$F$17,SUM(P$31,P$51)),0)</f>
        <v/>
      </c>
      <c r="AV42" s="345">
        <f>IFERROR(-IPMT($P$36,W42-$F$16,$F$17,SUM($P$31,$P$51)),0)</f>
        <v/>
      </c>
      <c r="AW42" s="345">
        <f>IF(AND(W42&gt;$F$16,W42&lt;=SUM($F$16:$F$17)),$P$43,0)</f>
        <v/>
      </c>
      <c r="AX42" s="345">
        <f>IF($W42=1,$F$44,0)+IF(AND($W42&gt;0,$W42&lt;=$O$16),$F$45,0)</f>
        <v/>
      </c>
      <c r="AY42" s="345">
        <f>IF(AND(W42&gt;$F$16,W42&lt;=SUM($F$16:$F$17)),$P$54,0)</f>
        <v/>
      </c>
      <c r="AZ42" s="345">
        <f>IF(AND(SUM($AQ$16:AQ41)&gt;0,SUM($AZ$16:AZ41)&lt;$P$62,$W42&gt;=$P$65),$P$64,0)</f>
        <v/>
      </c>
      <c r="BA42" s="345">
        <f>IF(SUM($AQ$17:$AQ41)&gt;0,($P$62-SUM($AZ$17:$AZ41))*$F$65,0)</f>
        <v/>
      </c>
      <c r="BB42" s="346">
        <f>SUM(AT42:AY42)</f>
        <v/>
      </c>
      <c r="BC42" s="351">
        <f>AS42-BB42</f>
        <v/>
      </c>
      <c r="BD42" s="352">
        <f>BC42*$BF42</f>
        <v/>
      </c>
      <c r="BE42" s="393" t="n"/>
      <c r="BF42" s="46">
        <f>BF41/(1+$O$22)</f>
        <v/>
      </c>
      <c r="BH42" s="350">
        <f>AT42</f>
        <v/>
      </c>
      <c r="BI42" s="350">
        <f>AU42</f>
        <v/>
      </c>
      <c r="BJ42" s="351">
        <f>AV42</f>
        <v/>
      </c>
      <c r="BK42" s="351">
        <f>AW42</f>
        <v/>
      </c>
      <c r="BL42" s="351">
        <f>AY42</f>
        <v/>
      </c>
      <c r="BM42" s="351">
        <f>IF($W42&gt;$F$16,$F$56,0)</f>
        <v/>
      </c>
      <c r="BN42" s="352">
        <f>SUM(BH42:BM42)</f>
        <v/>
      </c>
      <c r="BO42" s="351">
        <f>IF($W42=$F$16,$P$32,0)</f>
        <v/>
      </c>
      <c r="BP42" s="351">
        <f>IF(AND(W42&gt;$F$16,W42&lt;=SUM($F$16:$F$17)),$P$41,0)</f>
        <v/>
      </c>
      <c r="BQ42" s="351">
        <f>IFERROR(-IPMT($P$67,W42-$F$16,$F$17,SUM(P$31,P$51)),0)</f>
        <v/>
      </c>
      <c r="BR42" s="351">
        <f>IF($W42&lt;=$O$16,$F$105,0)</f>
        <v/>
      </c>
      <c r="BS42" s="353">
        <f>IF($W42=1,SUM($O$103,$O$105),0)</f>
        <v/>
      </c>
      <c r="BT42" s="351">
        <f>IF($W42&lt;$O$16,IF(W42=$F$16,$P$93,$P$94),0)</f>
        <v/>
      </c>
      <c r="BU42" s="352">
        <f>SUM(BO42:BP42,BR42:BT42)</f>
        <v/>
      </c>
      <c r="BV42" s="352">
        <f>BN42-BU42</f>
        <v/>
      </c>
      <c r="BW42" s="342" t="n"/>
      <c r="BX42" s="338">
        <f>IFERROR(-PPMT($P$67,$W42-$F$16,$F$17,SUM(P$31,P$51)),0)</f>
        <v/>
      </c>
      <c r="BY42" s="356">
        <f>IF(BV42-BX42&gt;=0,0,1)</f>
        <v/>
      </c>
      <c r="CA42" s="0" t="n"/>
    </row>
    <row r="43" ht="15.75" customHeight="1" s="302">
      <c r="B43" s="0" t="inlineStr">
        <is>
          <t>2.4モニタリングコスト</t>
        </is>
      </c>
      <c r="E43" s="19" t="inlineStr">
        <is>
          <t>PSC</t>
        </is>
      </c>
      <c r="F43" s="19" t="inlineStr">
        <is>
          <t>PFI-LCC</t>
        </is>
      </c>
      <c r="K43" s="0" t="inlineStr">
        <is>
          <t>利用料金収入考慮後の維持管理運営に係るサービス購入費</t>
        </is>
      </c>
      <c r="N43" s="19" t="inlineStr">
        <is>
          <t>百万円</t>
        </is>
      </c>
      <c r="O43" s="362" t="n"/>
      <c r="P43" s="362" t="n"/>
      <c r="V43" s="58">
        <f>IF(W43=1,DATE(YEAR($F$18)+(MONTH($F$18)&gt;=4),4,0),EOMONTH(V42,12))</f>
        <v/>
      </c>
      <c r="W43" s="6" t="n">
        <v>27</v>
      </c>
      <c r="X43" s="282">
        <f>IF(W43&gt;$O$16,"-",IF($W43&lt;=$F$16,"整備期間","維持管理・運営期間"))</f>
        <v/>
      </c>
      <c r="Y43" s="344">
        <f>IF($W43=$F$16,$O$61,0)</f>
        <v/>
      </c>
      <c r="Z43" s="345">
        <f>IF($W43=$F$16,$O$63,0)</f>
        <v/>
      </c>
      <c r="AA43" s="345">
        <f>IF($W43=$F$16,$O$62,0)</f>
        <v/>
      </c>
      <c r="AB43" s="345">
        <f>IF(X43="維持管理・運営期間",$F$56,0)</f>
        <v/>
      </c>
      <c r="AC43" s="346">
        <f>SUM(Y43:Z43,AB43)</f>
        <v/>
      </c>
      <c r="AD43" s="344">
        <f>IF($W43=$F$16,$O$30,0)</f>
        <v/>
      </c>
      <c r="AE43" s="345">
        <f>IF($X43="維持管理・運営期間",$O$41,0)</f>
        <v/>
      </c>
      <c r="AF43" s="345">
        <f>IF(AND($W43&gt;0,$W43&lt;=$O$16),$E$45,0)</f>
        <v/>
      </c>
      <c r="AG43" s="345">
        <f>IF(AND(SUM($AA$16:AA42)&gt;0,SUM($AG$16:AG42)&lt;$O$62,$W43&gt;=$O$65),$O$64,0)</f>
        <v/>
      </c>
      <c r="AH43" s="351">
        <f>IF(SUM($AA$17:$AA42)&gt;0,($O$62-SUM($AG$17:$AG42))*$F$65,0)</f>
        <v/>
      </c>
      <c r="AI43" s="346">
        <f>SUM(AD43:AF43)</f>
        <v/>
      </c>
      <c r="AJ43" s="351">
        <f>AC43-AI43</f>
        <v/>
      </c>
      <c r="AK43" s="338">
        <f>(SUM($P$31,$P$51)-SUM($AU$17:AU42))*$O$109</f>
        <v/>
      </c>
      <c r="AL43" s="348" t="n"/>
      <c r="AM43" s="352">
        <f>AJ43*$BF43</f>
        <v/>
      </c>
      <c r="AN43" s="349" t="n"/>
      <c r="AO43" s="350">
        <f>IF($W43=$F$16,$P$61,0)</f>
        <v/>
      </c>
      <c r="AP43" s="351">
        <f>IF($W43=$F$16,$P$63,0)</f>
        <v/>
      </c>
      <c r="AQ43" s="351">
        <f>IF($W43=$F$16,$P$62,0)</f>
        <v/>
      </c>
      <c r="AR43" s="345">
        <f>IF($W43&lt;$O$16,IF(W43=$F$16,$U$92,$U$93),0)</f>
        <v/>
      </c>
      <c r="AS43" s="346">
        <f>SUM(AO43:AP43,AR43)</f>
        <v/>
      </c>
      <c r="AT43" s="345">
        <f>IF(W43=$F$16,$P$30,0)</f>
        <v/>
      </c>
      <c r="AU43" s="345">
        <f>IFERROR(-PPMT($P$36,W43-$F$16,$F$17,SUM(P$31,P$51)),0)</f>
        <v/>
      </c>
      <c r="AV43" s="345">
        <f>IFERROR(-IPMT($P$36,W43-$F$16,$F$17,SUM($P$31,$P$51)),0)</f>
        <v/>
      </c>
      <c r="AW43" s="345">
        <f>IF(AND(W43&gt;$F$16,W43&lt;=SUM($F$16:$F$17)),$P$43,0)</f>
        <v/>
      </c>
      <c r="AX43" s="345">
        <f>IF($W43=1,$F$44,0)+IF(AND($W43&gt;0,$W43&lt;=$O$16),$F$45,0)</f>
        <v/>
      </c>
      <c r="AY43" s="345">
        <f>IF(AND(W43&gt;$F$16,W43&lt;=SUM($F$16:$F$17)),$P$54,0)</f>
        <v/>
      </c>
      <c r="AZ43" s="345">
        <f>IF(AND(SUM($AQ$16:AQ42)&gt;0,SUM($AZ$16:AZ42)&lt;$P$62,$W43&gt;=$P$65),$P$64,0)</f>
        <v/>
      </c>
      <c r="BA43" s="345">
        <f>IF(SUM($AQ$17:$AQ42)&gt;0,($P$62-SUM($AZ$17:$AZ42))*$F$65,0)</f>
        <v/>
      </c>
      <c r="BB43" s="346">
        <f>SUM(AT43:AY43)</f>
        <v/>
      </c>
      <c r="BC43" s="351">
        <f>AS43-BB43</f>
        <v/>
      </c>
      <c r="BD43" s="352">
        <f>BC43*$BF43</f>
        <v/>
      </c>
      <c r="BE43" s="393" t="n"/>
      <c r="BF43" s="46">
        <f>BF42/(1+$O$22)</f>
        <v/>
      </c>
      <c r="BH43" s="350">
        <f>AT43</f>
        <v/>
      </c>
      <c r="BI43" s="350">
        <f>AU43</f>
        <v/>
      </c>
      <c r="BJ43" s="351">
        <f>AV43</f>
        <v/>
      </c>
      <c r="BK43" s="351">
        <f>AW43</f>
        <v/>
      </c>
      <c r="BL43" s="351">
        <f>AY43</f>
        <v/>
      </c>
      <c r="BM43" s="351">
        <f>IF($W43&gt;$F$16,$F$56,0)</f>
        <v/>
      </c>
      <c r="BN43" s="352">
        <f>SUM(BH43:BM43)</f>
        <v/>
      </c>
      <c r="BO43" s="351">
        <f>IF($W43=$F$16,$P$32,0)</f>
        <v/>
      </c>
      <c r="BP43" s="351">
        <f>IF(AND(W43&gt;$F$16,W43&lt;=SUM($F$16:$F$17)),$P$41,0)</f>
        <v/>
      </c>
      <c r="BQ43" s="351">
        <f>IFERROR(-IPMT($P$67,W43-$F$16,$F$17,SUM(P$31,P$51)),0)</f>
        <v/>
      </c>
      <c r="BR43" s="351">
        <f>IF($W43&lt;=$O$16,$F$105,0)</f>
        <v/>
      </c>
      <c r="BS43" s="353">
        <f>IF($W43=1,SUM($O$103,$O$105),0)</f>
        <v/>
      </c>
      <c r="BT43" s="351">
        <f>IF($W43&lt;$O$16,IF(W43=$F$16,$P$93,$P$94),0)</f>
        <v/>
      </c>
      <c r="BU43" s="352">
        <f>SUM(BO43:BP43,BR43:BT43)</f>
        <v/>
      </c>
      <c r="BV43" s="352">
        <f>BN43-BU43</f>
        <v/>
      </c>
      <c r="BW43" s="342" t="n"/>
      <c r="BX43" s="338">
        <f>IFERROR(-PPMT($P$67,$W43-$F$16,$F$17,SUM(P$31,P$51)),0)</f>
        <v/>
      </c>
      <c r="BY43" s="356">
        <f>IF(BV43-BX43&gt;=0,0,1)</f>
        <v/>
      </c>
      <c r="CA43" s="0" t="n"/>
    </row>
    <row r="44" ht="15.75" customHeight="1" s="302">
      <c r="C44" s="275" t="inlineStr">
        <is>
          <t>当初費用（アドバイザーフィー等）</t>
        </is>
      </c>
      <c r="D44" s="0" t="inlineStr">
        <is>
          <t>百万円</t>
        </is>
      </c>
      <c r="E44" s="366" t="n"/>
      <c r="F44" s="305" t="n">
        <v>25</v>
      </c>
      <c r="K44" s="0" t="inlineStr">
        <is>
          <t>維持管理運営費用（総額）</t>
        </is>
      </c>
      <c r="N44" s="19" t="inlineStr">
        <is>
          <t>百万円</t>
        </is>
      </c>
      <c r="O44" s="364">
        <f>O41*$F$17</f>
        <v/>
      </c>
      <c r="P44" s="364">
        <f>P43*$F$17</f>
        <v/>
      </c>
      <c r="V44" s="58">
        <f>IF(W44=1,DATE(YEAR($F$18)+(MONTH($F$18)&gt;=4),4,0),EOMONTH(V43,12))</f>
        <v/>
      </c>
      <c r="W44" s="6" t="n">
        <v>28</v>
      </c>
      <c r="X44" s="282">
        <f>IF(W44&gt;$O$16,"-",IF($W44&lt;=$F$16,"整備期間","維持管理・運営期間"))</f>
        <v/>
      </c>
      <c r="Y44" s="344">
        <f>IF($W44=$F$16,$O$61,0)</f>
        <v/>
      </c>
      <c r="Z44" s="345">
        <f>IF($W44=$F$16,$O$63,0)</f>
        <v/>
      </c>
      <c r="AA44" s="345">
        <f>IF($W44=$F$16,$O$62,0)</f>
        <v/>
      </c>
      <c r="AB44" s="345">
        <f>IF(X44="維持管理・運営期間",$F$56,0)</f>
        <v/>
      </c>
      <c r="AC44" s="346">
        <f>SUM(Y44:Z44,AB44)</f>
        <v/>
      </c>
      <c r="AD44" s="344">
        <f>IF($W44=$F$16,$O$30,0)</f>
        <v/>
      </c>
      <c r="AE44" s="345">
        <f>IF($X44="維持管理・運営期間",$O$41,0)</f>
        <v/>
      </c>
      <c r="AF44" s="345">
        <f>IF(AND($W44&gt;0,$W44&lt;=$O$16),$E$45,0)</f>
        <v/>
      </c>
      <c r="AG44" s="345">
        <f>IF(AND(SUM($AA$16:AA43)&gt;0,SUM($AG$16:AG43)&lt;$O$62,$W44&gt;=$O$65),$O$64,0)</f>
        <v/>
      </c>
      <c r="AH44" s="351">
        <f>IF(SUM($AA$17:$AA43)&gt;0,($O$62-SUM($AG$17:$AG43))*$F$65,0)</f>
        <v/>
      </c>
      <c r="AI44" s="346">
        <f>SUM(AD44:AF44)</f>
        <v/>
      </c>
      <c r="AJ44" s="351">
        <f>AC44-AI44</f>
        <v/>
      </c>
      <c r="AK44" s="338">
        <f>(SUM($P$31,$P$51)-SUM($AU$17:AU43))*$O$109</f>
        <v/>
      </c>
      <c r="AL44" s="348" t="n"/>
      <c r="AM44" s="352">
        <f>AJ44*$BF44</f>
        <v/>
      </c>
      <c r="AN44" s="349" t="n"/>
      <c r="AO44" s="350">
        <f>IF($W44=$F$16,$P$61,0)</f>
        <v/>
      </c>
      <c r="AP44" s="351">
        <f>IF($W44=$F$16,$P$63,0)</f>
        <v/>
      </c>
      <c r="AQ44" s="351">
        <f>IF($W44=$F$16,$P$62,0)</f>
        <v/>
      </c>
      <c r="AR44" s="345">
        <f>IF($W44&lt;$O$16,IF(W44=$F$16,$U$92,$U$93),0)</f>
        <v/>
      </c>
      <c r="AS44" s="346">
        <f>SUM(AO44:AP44,AR44)</f>
        <v/>
      </c>
      <c r="AT44" s="345">
        <f>IF(W44=$F$16,$P$30,0)</f>
        <v/>
      </c>
      <c r="AU44" s="345">
        <f>IFERROR(-PPMT($P$36,W44-$F$16,$F$17,SUM(P$31,P$51)),0)</f>
        <v/>
      </c>
      <c r="AV44" s="345">
        <f>IFERROR(-IPMT($P$36,W44-$F$16,$F$17,SUM($P$31,$P$51)),0)</f>
        <v/>
      </c>
      <c r="AW44" s="345">
        <f>IF(AND(W44&gt;$F$16,W44&lt;=SUM($F$16:$F$17)),$P$43,0)</f>
        <v/>
      </c>
      <c r="AX44" s="345">
        <f>IF($W44=1,$F$44,0)+IF(AND($W44&gt;0,$W44&lt;=$O$16),$F$45,0)</f>
        <v/>
      </c>
      <c r="AY44" s="345">
        <f>IF(AND(W44&gt;$F$16,W44&lt;=SUM($F$16:$F$17)),$P$54,0)</f>
        <v/>
      </c>
      <c r="AZ44" s="345">
        <f>IF(AND(SUM($AQ$16:AQ43)&gt;0,SUM($AZ$16:AZ43)&lt;$P$62,$W44&gt;=$P$65),$P$64,0)</f>
        <v/>
      </c>
      <c r="BA44" s="345">
        <f>IF(SUM($AQ$17:$AQ43)&gt;0,($P$62-SUM($AZ$17:$AZ43))*$F$65,0)</f>
        <v/>
      </c>
      <c r="BB44" s="346">
        <f>SUM(AT44:AY44)</f>
        <v/>
      </c>
      <c r="BC44" s="351">
        <f>AS44-BB44</f>
        <v/>
      </c>
      <c r="BD44" s="352">
        <f>BC44*$BF44</f>
        <v/>
      </c>
      <c r="BE44" s="393" t="n"/>
      <c r="BF44" s="46">
        <f>BF43/(1+$O$22)</f>
        <v/>
      </c>
      <c r="BH44" s="350">
        <f>AT44</f>
        <v/>
      </c>
      <c r="BI44" s="350">
        <f>AU44</f>
        <v/>
      </c>
      <c r="BJ44" s="351">
        <f>AV44</f>
        <v/>
      </c>
      <c r="BK44" s="351">
        <f>AW44</f>
        <v/>
      </c>
      <c r="BL44" s="351">
        <f>AY44</f>
        <v/>
      </c>
      <c r="BM44" s="351">
        <f>IF($W44&gt;$F$16,$F$56,0)</f>
        <v/>
      </c>
      <c r="BN44" s="352">
        <f>SUM(BH44:BM44)</f>
        <v/>
      </c>
      <c r="BO44" s="351">
        <f>IF($W44=$F$16,$P$32,0)</f>
        <v/>
      </c>
      <c r="BP44" s="351">
        <f>IF(AND(W44&gt;$F$16,W44&lt;=SUM($F$16:$F$17)),$P$41,0)</f>
        <v/>
      </c>
      <c r="BQ44" s="351">
        <f>IFERROR(-IPMT($P$67,W44-$F$16,$F$17,SUM(P$31,P$51)),0)</f>
        <v/>
      </c>
      <c r="BR44" s="351">
        <f>IF($W44&lt;=$O$16,$F$105,0)</f>
        <v/>
      </c>
      <c r="BS44" s="353">
        <f>IF($W44=1,SUM($O$103,$O$105),0)</f>
        <v/>
      </c>
      <c r="BT44" s="351">
        <f>IF($W44&lt;$O$16,IF(W44=$F$16,$P$93,$P$94),0)</f>
        <v/>
      </c>
      <c r="BU44" s="352">
        <f>SUM(BO44:BP44,BR44:BT44)</f>
        <v/>
      </c>
      <c r="BV44" s="352">
        <f>BN44-BU44</f>
        <v/>
      </c>
      <c r="BW44" s="342" t="n"/>
      <c r="BX44" s="338">
        <f>IFERROR(-PPMT($P$67,$W44-$F$16,$F$17,SUM(P$31,P$51)),0)</f>
        <v/>
      </c>
      <c r="BY44" s="356">
        <f>IF(BV44-BX44&gt;=0,0,1)</f>
        <v/>
      </c>
      <c r="CA44" s="0" t="n"/>
    </row>
    <row r="45" ht="15.75" customHeight="1" s="302">
      <c r="C45" s="0" t="inlineStr">
        <is>
          <t>期中費用（モニタリングコスト）</t>
        </is>
      </c>
      <c r="D45" s="0" t="inlineStr">
        <is>
          <t>百万円</t>
        </is>
      </c>
      <c r="E45" s="305" t="n">
        <v>10</v>
      </c>
      <c r="F45" s="305" t="n">
        <v>6</v>
      </c>
      <c r="V45" s="58">
        <f>IF(W45=1,DATE(YEAR($F$18)+(MONTH($F$18)&gt;=4),4,0),EOMONTH(V44,12))</f>
        <v/>
      </c>
      <c r="W45" s="6" t="n">
        <v>29</v>
      </c>
      <c r="X45" s="282">
        <f>IF(W45&gt;$O$16,"-",IF($W45&lt;=$F$16,"整備期間","維持管理・運営期間"))</f>
        <v/>
      </c>
      <c r="Y45" s="344">
        <f>IF($W45=$F$16,$O$61,0)</f>
        <v/>
      </c>
      <c r="Z45" s="345">
        <f>IF($W45=$F$16,$O$63,0)</f>
        <v/>
      </c>
      <c r="AA45" s="345">
        <f>IF($W45=$F$16,$O$62,0)</f>
        <v/>
      </c>
      <c r="AB45" s="345">
        <f>IF(X45="維持管理・運営期間",$F$56,0)</f>
        <v/>
      </c>
      <c r="AC45" s="346">
        <f>SUM(Y45:Z45,AB45)</f>
        <v/>
      </c>
      <c r="AD45" s="344">
        <f>IF($W45=$F$16,$O$30,0)</f>
        <v/>
      </c>
      <c r="AE45" s="345">
        <f>IF($X45="維持管理・運営期間",$O$41,0)</f>
        <v/>
      </c>
      <c r="AF45" s="345">
        <f>IF(AND($W45&gt;0,$W45&lt;=$O$16),$E$45,0)</f>
        <v/>
      </c>
      <c r="AG45" s="345">
        <f>IF(AND(SUM($AA$16:AA44)&gt;0,SUM($AG$16:AG44)&lt;$O$62,$W45&gt;=$O$65),$O$64,0)</f>
        <v/>
      </c>
      <c r="AH45" s="351">
        <f>IF(SUM($AA$17:$AA44)&gt;0,($O$62-SUM($AG$17:$AG44))*$F$65,0)</f>
        <v/>
      </c>
      <c r="AI45" s="346">
        <f>SUM(AD45:AF45)</f>
        <v/>
      </c>
      <c r="AJ45" s="351">
        <f>AC45-AI45</f>
        <v/>
      </c>
      <c r="AK45" s="338">
        <f>(SUM($P$31,$P$51)-SUM($AU$17:AU44))*$O$109</f>
        <v/>
      </c>
      <c r="AL45" s="348" t="n"/>
      <c r="AM45" s="352">
        <f>AJ45*$BF45</f>
        <v/>
      </c>
      <c r="AN45" s="349" t="n"/>
      <c r="AO45" s="350">
        <f>IF($W45=$F$16,$P$61,0)</f>
        <v/>
      </c>
      <c r="AP45" s="351">
        <f>IF($W45=$F$16,$P$63,0)</f>
        <v/>
      </c>
      <c r="AQ45" s="351">
        <f>IF($W45=$F$16,$P$62,0)</f>
        <v/>
      </c>
      <c r="AR45" s="345">
        <f>IF($W45&lt;$O$16,IF(W45=$F$16,$U$92,$U$93),0)</f>
        <v/>
      </c>
      <c r="AS45" s="346">
        <f>SUM(AO45:AP45,AR45)</f>
        <v/>
      </c>
      <c r="AT45" s="345">
        <f>IF(W45=$F$16,$P$30,0)</f>
        <v/>
      </c>
      <c r="AU45" s="345">
        <f>IFERROR(-PPMT($P$36,W45-$F$16,$F$17,SUM(P$31,P$51)),0)</f>
        <v/>
      </c>
      <c r="AV45" s="345">
        <f>IFERROR(-IPMT($P$36,W45-$F$16,$F$17,SUM($P$31,$P$51)),0)</f>
        <v/>
      </c>
      <c r="AW45" s="345">
        <f>IF(AND(W45&gt;$F$16,W45&lt;=SUM($F$16:$F$17)),$P$43,0)</f>
        <v/>
      </c>
      <c r="AX45" s="345">
        <f>IF($W45=1,$F$44,0)+IF(AND($W45&gt;0,$W45&lt;=$O$16),$F$45,0)</f>
        <v/>
      </c>
      <c r="AY45" s="345">
        <f>IF(AND(W45&gt;$F$16,W45&lt;=SUM($F$16:$F$17)),$P$54,0)</f>
        <v/>
      </c>
      <c r="AZ45" s="345">
        <f>IF(AND(SUM($AQ$16:AQ44)&gt;0,SUM($AZ$16:AZ44)&lt;$P$62,$W45&gt;=$P$65),$P$64,0)</f>
        <v/>
      </c>
      <c r="BA45" s="345">
        <f>IF(SUM($AQ$17:$AQ44)&gt;0,($P$62-SUM($AZ$17:$AZ44))*$F$65,0)</f>
        <v/>
      </c>
      <c r="BB45" s="346">
        <f>SUM(AT45:AY45)</f>
        <v/>
      </c>
      <c r="BC45" s="351">
        <f>AS45-BB45</f>
        <v/>
      </c>
      <c r="BD45" s="352">
        <f>BC45*$BF45</f>
        <v/>
      </c>
      <c r="BE45" s="393" t="n"/>
      <c r="BF45" s="46">
        <f>BF44/(1+$O$22)</f>
        <v/>
      </c>
      <c r="BH45" s="350">
        <f>AT45</f>
        <v/>
      </c>
      <c r="BI45" s="350">
        <f>AU45</f>
        <v/>
      </c>
      <c r="BJ45" s="351">
        <f>AV45</f>
        <v/>
      </c>
      <c r="BK45" s="351">
        <f>AW45</f>
        <v/>
      </c>
      <c r="BL45" s="351">
        <f>AY45</f>
        <v/>
      </c>
      <c r="BM45" s="351">
        <f>IF($W45&gt;$F$16,$F$56,0)</f>
        <v/>
      </c>
      <c r="BN45" s="352">
        <f>SUM(BH45:BM45)</f>
        <v/>
      </c>
      <c r="BO45" s="351">
        <f>IF($W45=$F$16,$P$32,0)</f>
        <v/>
      </c>
      <c r="BP45" s="351">
        <f>IF(AND(W45&gt;$F$16,W45&lt;=SUM($F$16:$F$17)),$P$41,0)</f>
        <v/>
      </c>
      <c r="BQ45" s="351">
        <f>IFERROR(-IPMT($P$67,W45-$F$16,$F$17,SUM(P$31,P$51)),0)</f>
        <v/>
      </c>
      <c r="BR45" s="351">
        <f>IF($W45&lt;=$O$16,$F$105,0)</f>
        <v/>
      </c>
      <c r="BS45" s="353">
        <f>IF($W45=1,SUM($O$103,$O$105),0)</f>
        <v/>
      </c>
      <c r="BT45" s="351">
        <f>IF($W45&lt;$O$16,IF(W45=$F$16,$P$93,$P$94),0)</f>
        <v/>
      </c>
      <c r="BU45" s="352">
        <f>SUM(BO45:BP45,BR45:BT45)</f>
        <v/>
      </c>
      <c r="BV45" s="352">
        <f>BN45-BU45</f>
        <v/>
      </c>
      <c r="BW45" s="342" t="n"/>
      <c r="BX45" s="338">
        <f>IFERROR(-PPMT($P$67,$W45-$F$16,$F$17,SUM(P$31,P$51)),0)</f>
        <v/>
      </c>
      <c r="BY45" s="356">
        <f>IF(BV45-BX45&gt;=0,0,1)</f>
        <v/>
      </c>
      <c r="CA45" s="0" t="n"/>
    </row>
    <row r="46" ht="15.75" customHeight="1" s="302">
      <c r="B46" s="0" t="inlineStr">
        <is>
          <t>2.5 SPC費用、税金等</t>
        </is>
      </c>
      <c r="J46" s="4" t="inlineStr">
        <is>
          <t>2.5 SPC費用、税金等の取扱い</t>
        </is>
      </c>
      <c r="V46" s="58">
        <f>IF(W46=1,DATE(YEAR($F$18)+(MONTH($F$18)&gt;=4),4,0),EOMONTH(V45,12))</f>
        <v/>
      </c>
      <c r="W46" s="6" t="n">
        <v>30</v>
      </c>
      <c r="X46" s="282">
        <f>IF(W46&gt;$O$16,"-",IF($W46&lt;=$F$16,"整備期間","維持管理・運営期間"))</f>
        <v/>
      </c>
      <c r="Y46" s="344">
        <f>IF($W46=$F$16,$O$61,0)</f>
        <v/>
      </c>
      <c r="Z46" s="345">
        <f>IF($W46=$F$16,$O$63,0)</f>
        <v/>
      </c>
      <c r="AA46" s="345">
        <f>IF($W46=$F$16,$O$62,0)</f>
        <v/>
      </c>
      <c r="AB46" s="345">
        <f>IF(X46="維持管理・運営期間",$F$56,0)</f>
        <v/>
      </c>
      <c r="AC46" s="346">
        <f>SUM(Y46:Z46,AB46)</f>
        <v/>
      </c>
      <c r="AD46" s="344">
        <f>IF($W46=$F$16,$O$30,0)</f>
        <v/>
      </c>
      <c r="AE46" s="345">
        <f>IF($X46="維持管理・運営期間",$O$41,0)</f>
        <v/>
      </c>
      <c r="AF46" s="345">
        <f>IF(AND($W46&gt;0,$W46&lt;=$O$16),$E$45,0)</f>
        <v/>
      </c>
      <c r="AG46" s="345">
        <f>IF(AND(SUM($AA$16:AA45)&gt;0,SUM($AG$16:AG45)&lt;$O$62,$W46&gt;=$O$65),$O$64,0)</f>
        <v/>
      </c>
      <c r="AH46" s="351">
        <f>IF(SUM($AA$17:$AA45)&gt;0,($O$62-SUM($AG$17:$AG45))*$F$65,0)</f>
        <v/>
      </c>
      <c r="AI46" s="346">
        <f>SUM(AD46:AF46)</f>
        <v/>
      </c>
      <c r="AJ46" s="351">
        <f>AC46-AI46</f>
        <v/>
      </c>
      <c r="AK46" s="338">
        <f>(SUM($P$31,$P$51)-SUM($AU$17:AU45))*$O$109</f>
        <v/>
      </c>
      <c r="AL46" s="348" t="n"/>
      <c r="AM46" s="352">
        <f>AJ46*$BF46</f>
        <v/>
      </c>
      <c r="AN46" s="349" t="n"/>
      <c r="AO46" s="350">
        <f>IF($W46=$F$16,$P$61,0)</f>
        <v/>
      </c>
      <c r="AP46" s="351">
        <f>IF($W46=$F$16,$P$63,0)</f>
        <v/>
      </c>
      <c r="AQ46" s="351">
        <f>IF($W46=$F$16,$P$62,0)</f>
        <v/>
      </c>
      <c r="AR46" s="345">
        <f>IF($W46&lt;$O$16,IF(W46=$F$16,$U$92,$U$93),0)</f>
        <v/>
      </c>
      <c r="AS46" s="346">
        <f>SUM(AO46:AP46,AR46)</f>
        <v/>
      </c>
      <c r="AT46" s="345">
        <f>IF(W46=$F$16,$P$30,0)</f>
        <v/>
      </c>
      <c r="AU46" s="345">
        <f>IFERROR(-PPMT($P$36,W46-$F$16,$F$17,SUM(P$31,P$51)),0)</f>
        <v/>
      </c>
      <c r="AV46" s="345">
        <f>IFERROR(-IPMT($P$36,W46-$F$16,$F$17,SUM($P$31,$P$51)),0)</f>
        <v/>
      </c>
      <c r="AW46" s="345">
        <f>IF(AND(W46&gt;$F$16,W46&lt;=SUM($F$16:$F$17)),$P$43,0)</f>
        <v/>
      </c>
      <c r="AX46" s="345">
        <f>IF($W46=1,$F$44,0)+IF(AND($W46&gt;0,$W46&lt;=$O$16),$F$45,0)</f>
        <v/>
      </c>
      <c r="AY46" s="345">
        <f>IF(AND(W46&gt;$F$16,W46&lt;=SUM($F$16:$F$17)),$P$54,0)</f>
        <v/>
      </c>
      <c r="AZ46" s="345">
        <f>IF(AND(SUM($AQ$16:AQ45)&gt;0,SUM($AZ$16:AZ45)&lt;$P$62,$W46&gt;=$P$65),$P$64,0)</f>
        <v/>
      </c>
      <c r="BA46" s="345">
        <f>IF(SUM($AQ$17:$AQ45)&gt;0,($P$62-SUM($AZ$17:$AZ45))*$F$65,0)</f>
        <v/>
      </c>
      <c r="BB46" s="346">
        <f>SUM(AT46:AY46)</f>
        <v/>
      </c>
      <c r="BC46" s="351">
        <f>AS46-BB46</f>
        <v/>
      </c>
      <c r="BD46" s="352">
        <f>BC46*$BF46</f>
        <v/>
      </c>
      <c r="BE46" s="393" t="n"/>
      <c r="BF46" s="47">
        <f>BF45/(1+$O$22)</f>
        <v/>
      </c>
      <c r="BH46" s="350">
        <f>AT46</f>
        <v/>
      </c>
      <c r="BI46" s="350">
        <f>AU46</f>
        <v/>
      </c>
      <c r="BJ46" s="351">
        <f>AV46</f>
        <v/>
      </c>
      <c r="BK46" s="351">
        <f>AW46</f>
        <v/>
      </c>
      <c r="BL46" s="351">
        <f>AY46</f>
        <v/>
      </c>
      <c r="BM46" s="345">
        <f>IF($W46&gt;$F$16,$F$56,0)</f>
        <v/>
      </c>
      <c r="BN46" s="346">
        <f>SUM(BH46:BM46)</f>
        <v/>
      </c>
      <c r="BO46" s="351">
        <f>IF($W46=$F$16,$P$32,0)</f>
        <v/>
      </c>
      <c r="BP46" s="351">
        <f>IF(AND(W46&gt;$F$16,W46&lt;=SUM($F$16:$F$17)),$P$41,0)</f>
        <v/>
      </c>
      <c r="BQ46" s="351">
        <f>IFERROR(-IPMT($P$67,W46-$F$16,$F$17,SUM(P$31,P$51)),0)</f>
        <v/>
      </c>
      <c r="BR46" s="351">
        <f>IF($W46&lt;=$O$16,$F$105,0)</f>
        <v/>
      </c>
      <c r="BS46" s="353">
        <f>IF($W46=1,SUM($O$103,$O$105),0)</f>
        <v/>
      </c>
      <c r="BT46" s="351">
        <f>IF($W46&lt;$O$16,IF(W46=$F$16,$P$93,$P$94),0)</f>
        <v/>
      </c>
      <c r="BU46" s="346">
        <f>SUM(BO46:BP46,BR46:BT46)</f>
        <v/>
      </c>
      <c r="BV46" s="346">
        <f>BN46-BU46</f>
        <v/>
      </c>
      <c r="BW46" s="342" t="n"/>
      <c r="BX46" s="338">
        <f>IFERROR(-PPMT($P$67,$W46-$F$16,$F$17,SUM(P$31,P$51)),0)</f>
        <v/>
      </c>
      <c r="BY46" s="356">
        <f>IF(BV46-BX46&gt;=0,0,1)</f>
        <v/>
      </c>
      <c r="CA46" s="0" t="n"/>
    </row>
    <row r="47" ht="15.75" customHeight="1" s="302">
      <c r="F47" s="367" t="n">
        <v>1</v>
      </c>
      <c r="G47" s="0" t="n">
        <v>0</v>
      </c>
      <c r="H47" s="0" t="inlineStr">
        <is>
          <t>割賦金利に含めて支払</t>
        </is>
      </c>
      <c r="K47" s="0" t="inlineStr">
        <is>
          <t>SPC費用　年額</t>
        </is>
      </c>
      <c r="V47" s="58">
        <f>IF(W47=1,DATE(YEAR($F$18)+(MONTH($F$18)&gt;=4),4,0),EOMONTH(V46,12))</f>
        <v/>
      </c>
      <c r="W47" s="6" t="n">
        <v>31</v>
      </c>
      <c r="X47" s="282">
        <f>IF(W47&gt;$O$16,"-",IF($W47&lt;=$F$16,"整備期間","維持管理・運営期間"))</f>
        <v/>
      </c>
      <c r="Y47" s="344">
        <f>IF($W47=$F$16,$O$61,0)</f>
        <v/>
      </c>
      <c r="Z47" s="345">
        <f>IF($W47=$F$16,$O$63,0)</f>
        <v/>
      </c>
      <c r="AA47" s="345">
        <f>IF($W47=$F$16,$O$62,0)</f>
        <v/>
      </c>
      <c r="AB47" s="345">
        <f>IF(X47="維持管理・運営期間",$F$56,0)</f>
        <v/>
      </c>
      <c r="AC47" s="346">
        <f>SUM(Y47:Z47,AB47)</f>
        <v/>
      </c>
      <c r="AD47" s="344">
        <f>IF($W47=$F$16,$O$30,0)</f>
        <v/>
      </c>
      <c r="AE47" s="345">
        <f>IF($X47="維持管理・運営期間",$O$41,0)</f>
        <v/>
      </c>
      <c r="AF47" s="345">
        <f>IF(AND($W47&gt;0,$W47&lt;=$O$16),$E$45,0)</f>
        <v/>
      </c>
      <c r="AG47" s="345">
        <f>IF(AND(SUM($AA$16:AA46)&gt;0,SUM($AG$16:AG46)&lt;$O$62,$W47&gt;=$O$65),$O$64,0)</f>
        <v/>
      </c>
      <c r="AH47" s="351">
        <f>IF(SUM($AA$17:$AA46)&gt;0,($O$62-SUM($AG$17:$AG46))*$F$65,0)</f>
        <v/>
      </c>
      <c r="AI47" s="346">
        <f>SUM(AD47:AF47)</f>
        <v/>
      </c>
      <c r="AJ47" s="351">
        <f>AC47-AI47</f>
        <v/>
      </c>
      <c r="AK47" s="338">
        <f>(SUM($P$31,$P$51)-SUM($AU$17:AU46))*$O$109</f>
        <v/>
      </c>
      <c r="AL47" s="348" t="n"/>
      <c r="AM47" s="352">
        <f>AJ47*$BF47</f>
        <v/>
      </c>
      <c r="AN47" s="349" t="n"/>
      <c r="AO47" s="350">
        <f>IF($W47=$F$16,$P$61,0)</f>
        <v/>
      </c>
      <c r="AP47" s="351">
        <f>IF($W47=$F$16,$P$63,0)</f>
        <v/>
      </c>
      <c r="AQ47" s="351">
        <f>IF($W47=$F$16,$P$62,0)</f>
        <v/>
      </c>
      <c r="AR47" s="345">
        <f>IF($W47&lt;$O$16,IF(W47=$F$16,$U$92,$U$93),0)</f>
        <v/>
      </c>
      <c r="AS47" s="346">
        <f>SUM(AO47:AP47,AR47)</f>
        <v/>
      </c>
      <c r="AT47" s="345">
        <f>IF(W47=$F$16,$P$30,0)</f>
        <v/>
      </c>
      <c r="AU47" s="345">
        <f>IFERROR(-PPMT($P$36,W47-$F$16,$F$17,SUM(P$31,P$51)),0)</f>
        <v/>
      </c>
      <c r="AV47" s="345">
        <f>IFERROR(-IPMT($P$36,W47-$F$16,$F$17,SUM($P$31,$P$51)),0)</f>
        <v/>
      </c>
      <c r="AW47" s="345">
        <f>IF(AND(W47&gt;$F$16,W47&lt;=SUM($F$16:$F$17)),$P$43,0)</f>
        <v/>
      </c>
      <c r="AX47" s="345">
        <f>IF($W47=1,$F$44,0)+IF(AND($W47&gt;0,$W47&lt;=$O$16),$F$45,0)</f>
        <v/>
      </c>
      <c r="AY47" s="345">
        <f>IF(AND(W47&gt;$F$16,W47&lt;=SUM($F$16:$F$17)),$P$54,0)</f>
        <v/>
      </c>
      <c r="AZ47" s="345">
        <f>IF(AND(SUM($AQ$16:AQ46)&gt;0,SUM($AZ$16:AZ46)&lt;$P$62,$W47&gt;=$P$65),$P$64,0)</f>
        <v/>
      </c>
      <c r="BA47" s="345">
        <f>IF(SUM($AQ$17:$AQ46)&gt;0,($P$62-SUM($AZ$17:$AZ46))*$F$65,0)</f>
        <v/>
      </c>
      <c r="BB47" s="346">
        <f>SUM(AT47:AY47)</f>
        <v/>
      </c>
      <c r="BC47" s="351">
        <f>AS47-BB47</f>
        <v/>
      </c>
      <c r="BD47" s="352">
        <f>BC47*$BF47</f>
        <v/>
      </c>
      <c r="BE47" s="393" t="n"/>
      <c r="BF47" s="47">
        <f>BF46/(1+$O$22)</f>
        <v/>
      </c>
      <c r="BH47" s="350">
        <f>AT47</f>
        <v/>
      </c>
      <c r="BI47" s="350">
        <f>AU47</f>
        <v/>
      </c>
      <c r="BJ47" s="351">
        <f>AV47</f>
        <v/>
      </c>
      <c r="BK47" s="351">
        <f>AW47</f>
        <v/>
      </c>
      <c r="BL47" s="351">
        <f>AY47</f>
        <v/>
      </c>
      <c r="BM47" s="345">
        <f>IF($W47&gt;$F$16,$F$56,0)</f>
        <v/>
      </c>
      <c r="BN47" s="346">
        <f>SUM(BH47:BM47)</f>
        <v/>
      </c>
      <c r="BO47" s="351">
        <f>IF($W47=$F$16,$P$32,0)</f>
        <v/>
      </c>
      <c r="BP47" s="351">
        <f>IF(AND(W47&gt;$F$16,W47&lt;=SUM($F$16:$F$17)),$P$41,0)</f>
        <v/>
      </c>
      <c r="BQ47" s="351">
        <f>IFERROR(-IPMT($P$67,W47-$F$16,$F$17,SUM(P$31,P$51)),0)</f>
        <v/>
      </c>
      <c r="BR47" s="351">
        <f>IF($W47&lt;=$O$16,$F$105,0)</f>
        <v/>
      </c>
      <c r="BS47" s="353">
        <f>IF($W47=1,SUM($O$103,$O$105),0)</f>
        <v/>
      </c>
      <c r="BT47" s="351">
        <f>IF($W47&lt;$O$16,IF(W47=$F$16,$P$93,$P$94),0)</f>
        <v/>
      </c>
      <c r="BU47" s="346">
        <f>SUM(BO47:BP47,BR47:BT47)</f>
        <v/>
      </c>
      <c r="BV47" s="346">
        <f>BN47-BU47</f>
        <v/>
      </c>
      <c r="BW47" s="342" t="n"/>
      <c r="BX47" s="338">
        <f>IFERROR(-PPMT($P$67,$W47-$F$16,$F$17,SUM(P$31,P$51)),0)</f>
        <v/>
      </c>
      <c r="BY47" s="356">
        <f>IF(BV47-BX47&gt;=0,0,1)</f>
        <v/>
      </c>
      <c r="CA47" s="0" t="n"/>
    </row>
    <row r="48" ht="15.75" customHeight="1" s="302">
      <c r="G48" s="0" t="n">
        <v>1</v>
      </c>
      <c r="H48" s="0" t="inlineStr">
        <is>
          <t>サービス購入費として支払</t>
        </is>
      </c>
      <c r="I48" s="19" t="n"/>
      <c r="M48" s="0" t="inlineStr">
        <is>
          <t>SPC設立費用</t>
        </is>
      </c>
      <c r="N48" s="19" t="inlineStr">
        <is>
          <t>百万円</t>
        </is>
      </c>
      <c r="O48" s="362" t="n"/>
      <c r="P48" s="360">
        <f>F104</f>
        <v/>
      </c>
      <c r="V48" s="58">
        <f>IF(W48=1,DATE(YEAR($F$18)+(MONTH($F$18)&gt;=4),4,0),EOMONTH(V47,12))</f>
        <v/>
      </c>
      <c r="W48" s="6" t="n">
        <v>32</v>
      </c>
      <c r="X48" s="282">
        <f>IF(W48&gt;$O$16,"-",IF($W48&lt;=$F$16,"整備期間","維持管理・運営期間"))</f>
        <v/>
      </c>
      <c r="Y48" s="344">
        <f>IF($W48=$F$16,$O$61,0)</f>
        <v/>
      </c>
      <c r="Z48" s="345">
        <f>IF($W48=$F$16,$O$63,0)</f>
        <v/>
      </c>
      <c r="AA48" s="345">
        <f>IF($W48=$F$16,$O$62,0)</f>
        <v/>
      </c>
      <c r="AB48" s="345">
        <f>IF(X48="維持管理・運営期間",$F$56,0)</f>
        <v/>
      </c>
      <c r="AC48" s="346">
        <f>SUM(Y48:Z48,AB48)</f>
        <v/>
      </c>
      <c r="AD48" s="344">
        <f>IF($W48=$F$16,$O$30,0)</f>
        <v/>
      </c>
      <c r="AE48" s="345">
        <f>IF($X48="維持管理・運営期間",$O$41,0)</f>
        <v/>
      </c>
      <c r="AF48" s="345">
        <f>IF(AND($W48&gt;0,$W48&lt;=$O$16),$E$45,0)</f>
        <v/>
      </c>
      <c r="AG48" s="345">
        <f>IF(AND(SUM($AA$16:AA47)&gt;0,SUM($AG$16:AG47)&lt;$O$62,$W48&gt;=$O$65),$O$64,0)</f>
        <v/>
      </c>
      <c r="AH48" s="351">
        <f>IF(SUM($AA$17:$AA47)&gt;0,($O$62-SUM($AG$17:$AG47))*$F$65,0)</f>
        <v/>
      </c>
      <c r="AI48" s="346">
        <f>SUM(AD48:AF48)</f>
        <v/>
      </c>
      <c r="AJ48" s="351">
        <f>AC48-AI48</f>
        <v/>
      </c>
      <c r="AK48" s="338">
        <f>(SUM($P$31,$P$51)-SUM($AU$17:AU47))*$O$109</f>
        <v/>
      </c>
      <c r="AL48" s="348" t="n"/>
      <c r="AM48" s="352">
        <f>AJ48*$BF48</f>
        <v/>
      </c>
      <c r="AN48" s="349" t="n"/>
      <c r="AO48" s="350">
        <f>IF($W48=$F$16,$P$61,0)</f>
        <v/>
      </c>
      <c r="AP48" s="351">
        <f>IF($W48=$F$16,$P$63,0)</f>
        <v/>
      </c>
      <c r="AQ48" s="351">
        <f>IF($W48=$F$16,$P$62,0)</f>
        <v/>
      </c>
      <c r="AR48" s="345">
        <f>IF($W48&lt;$O$16,IF(W48=$F$16,$U$92,$U$93),0)</f>
        <v/>
      </c>
      <c r="AS48" s="346">
        <f>SUM(AO48:AP48,AR48)</f>
        <v/>
      </c>
      <c r="AT48" s="345">
        <f>IF(W48=$F$16,$P$30,0)</f>
        <v/>
      </c>
      <c r="AU48" s="345">
        <f>IFERROR(-PPMT($P$36,W48-$F$16,$F$17,SUM(P$31,P$51)),0)</f>
        <v/>
      </c>
      <c r="AV48" s="345">
        <f>IFERROR(-IPMT($P$36,W48-$F$16,$F$17,SUM($P$31,$P$51)),0)</f>
        <v/>
      </c>
      <c r="AW48" s="345">
        <f>IF(AND(W48&gt;$F$16,W48&lt;=SUM($F$16:$F$17)),$P$43,0)</f>
        <v/>
      </c>
      <c r="AX48" s="345">
        <f>IF($W48=1,$F$44,0)+IF(AND($W48&gt;0,$W48&lt;=$O$16),$F$45,0)</f>
        <v/>
      </c>
      <c r="AY48" s="345">
        <f>IF(AND(W48&gt;$F$16,W48&lt;=SUM($F$16:$F$17)),$P$54,0)</f>
        <v/>
      </c>
      <c r="AZ48" s="345">
        <f>IF(AND(SUM($AQ$16:AQ47)&gt;0,SUM($AZ$16:AZ47)&lt;$P$62,$W48&gt;=$P$65),$P$64,0)</f>
        <v/>
      </c>
      <c r="BA48" s="345">
        <f>IF(SUM($AQ$17:$AQ47)&gt;0,($P$62-SUM($AZ$17:$AZ47))*$F$65,0)</f>
        <v/>
      </c>
      <c r="BB48" s="346">
        <f>SUM(AT48:AY48)</f>
        <v/>
      </c>
      <c r="BC48" s="351">
        <f>AS48-BB48</f>
        <v/>
      </c>
      <c r="BD48" s="352">
        <f>BC48*$BF48</f>
        <v/>
      </c>
      <c r="BE48" s="393" t="n"/>
      <c r="BF48" s="47">
        <f>BF47/(1+$O$22)</f>
        <v/>
      </c>
      <c r="BH48" s="350">
        <f>AT48</f>
        <v/>
      </c>
      <c r="BI48" s="350">
        <f>AU48</f>
        <v/>
      </c>
      <c r="BJ48" s="351">
        <f>AV48</f>
        <v/>
      </c>
      <c r="BK48" s="351">
        <f>AW48</f>
        <v/>
      </c>
      <c r="BL48" s="351">
        <f>AY48</f>
        <v/>
      </c>
      <c r="BM48" s="345">
        <f>IF($W48&gt;$F$16,$F$56,0)</f>
        <v/>
      </c>
      <c r="BN48" s="346">
        <f>SUM(BH48:BM48)</f>
        <v/>
      </c>
      <c r="BO48" s="351">
        <f>IF($W48=$F$16,$P$32,0)</f>
        <v/>
      </c>
      <c r="BP48" s="351">
        <f>IF(AND(W48&gt;$F$16,W48&lt;=SUM($F$16:$F$17)),$P$41,0)</f>
        <v/>
      </c>
      <c r="BQ48" s="351">
        <f>IFERROR(-IPMT($P$67,W48-$F$16,$F$17,SUM(P$31,P$51)),0)</f>
        <v/>
      </c>
      <c r="BR48" s="351">
        <f>IF($W48&lt;=$O$16,$F$105,0)</f>
        <v/>
      </c>
      <c r="BS48" s="353">
        <f>IF($W48=1,SUM($O$103,$O$105),0)</f>
        <v/>
      </c>
      <c r="BT48" s="351">
        <f>IF($W48&lt;$O$16,IF(W48=$F$16,$P$93,$P$94),0)</f>
        <v/>
      </c>
      <c r="BU48" s="346">
        <f>SUM(BO48:BP48,BR48:BT48)</f>
        <v/>
      </c>
      <c r="BV48" s="346">
        <f>BN48-BU48</f>
        <v/>
      </c>
      <c r="BW48" s="342" t="n"/>
      <c r="BX48" s="338">
        <f>IFERROR(-PPMT($P$67,$W48-$F$16,$F$17,SUM(P$31,P$51)),0)</f>
        <v/>
      </c>
      <c r="BY48" s="356">
        <f>IF(BV48-BX48&gt;=0,0,1)</f>
        <v/>
      </c>
    </row>
    <row r="49" ht="15.75" customHeight="1" s="302">
      <c r="B49" s="93" t="inlineStr">
        <is>
          <t>2.6調整項目</t>
        </is>
      </c>
      <c r="M49" s="0" t="inlineStr">
        <is>
          <t>開業前SPC経費</t>
        </is>
      </c>
      <c r="N49" s="19" t="inlineStr">
        <is>
          <t>百万円</t>
        </is>
      </c>
      <c r="O49" s="368" t="n"/>
      <c r="P49" s="369">
        <f>F105*$F$16</f>
        <v/>
      </c>
      <c r="V49" s="58">
        <f>IF(W49=1,DATE(YEAR($F$18)+(MONTH($F$18)&gt;=4),4,0),EOMONTH(V48,12))</f>
        <v/>
      </c>
      <c r="W49" s="6" t="n">
        <v>33</v>
      </c>
      <c r="X49" s="282">
        <f>IF(W49&gt;$O$16,"-",IF($W49&lt;=$F$16,"整備期間","維持管理・運営期間"))</f>
        <v/>
      </c>
      <c r="Y49" s="344">
        <f>IF($W49=$F$16,$O$61,0)</f>
        <v/>
      </c>
      <c r="Z49" s="345">
        <f>IF($W49=$F$16,$O$63,0)</f>
        <v/>
      </c>
      <c r="AA49" s="345">
        <f>IF($W49=$F$16,$O$62,0)</f>
        <v/>
      </c>
      <c r="AB49" s="345">
        <f>IF(X49="維持管理・運営期間",$F$56,0)</f>
        <v/>
      </c>
      <c r="AC49" s="346">
        <f>SUM(Y49:Z49,AB49)</f>
        <v/>
      </c>
      <c r="AD49" s="344">
        <f>IF($W49=$F$16,$O$30,0)</f>
        <v/>
      </c>
      <c r="AE49" s="345">
        <f>IF($X49="維持管理・運営期間",$O$41,0)</f>
        <v/>
      </c>
      <c r="AF49" s="345">
        <f>IF(AND($W49&gt;0,$W49&lt;=$O$16),$E$45,0)</f>
        <v/>
      </c>
      <c r="AG49" s="345">
        <f>IF(AND(SUM($AA$16:AA48)&gt;0,SUM($AG$16:AG48)&lt;$O$62,$W49&gt;=$O$65),$O$64,0)</f>
        <v/>
      </c>
      <c r="AH49" s="351">
        <f>IF(SUM($AA$17:$AA48)&gt;0,($O$62-SUM($AG$17:$AG48))*$F$65,0)</f>
        <v/>
      </c>
      <c r="AI49" s="346">
        <f>SUM(AD49:AF49)</f>
        <v/>
      </c>
      <c r="AJ49" s="351">
        <f>AC49-AI49</f>
        <v/>
      </c>
      <c r="AK49" s="338">
        <f>(SUM($P$31,$P$51)-SUM($AU$17:AU48))*$O$109</f>
        <v/>
      </c>
      <c r="AL49" s="348" t="n"/>
      <c r="AM49" s="352">
        <f>AJ49*$BF49</f>
        <v/>
      </c>
      <c r="AN49" s="349" t="n"/>
      <c r="AO49" s="350">
        <f>IF($W49=$F$16,$P$61,0)</f>
        <v/>
      </c>
      <c r="AP49" s="351">
        <f>IF($W49=$F$16,$P$63,0)</f>
        <v/>
      </c>
      <c r="AQ49" s="351">
        <f>IF($W49=$F$16,$P$62,0)</f>
        <v/>
      </c>
      <c r="AR49" s="345">
        <f>IF($W49&lt;$O$16,IF(W49=$F$16,$U$92,$U$93),0)</f>
        <v/>
      </c>
      <c r="AS49" s="346">
        <f>SUM(AO49:AP49,AR49)</f>
        <v/>
      </c>
      <c r="AT49" s="345">
        <f>IF(W49=$F$16,$P$30,0)</f>
        <v/>
      </c>
      <c r="AU49" s="345">
        <f>IFERROR(-PPMT($P$36,W49-$F$16,$F$17,SUM(P$31,P$51)),0)</f>
        <v/>
      </c>
      <c r="AV49" s="345">
        <f>IFERROR(-IPMT($P$36,W49-$F$16,$F$17,SUM($P$31,$P$51)),0)</f>
        <v/>
      </c>
      <c r="AW49" s="345">
        <f>IF(AND(W49&gt;$F$16,W49&lt;=SUM($F$16:$F$17)),$P$43,0)</f>
        <v/>
      </c>
      <c r="AX49" s="345">
        <f>IF($W49=1,$F$44,0)+IF(AND($W49&gt;0,$W49&lt;=$O$16),$F$45,0)</f>
        <v/>
      </c>
      <c r="AY49" s="345">
        <f>IF(AND(W49&gt;$F$16,W49&lt;=SUM($F$16:$F$17)),$P$54,0)</f>
        <v/>
      </c>
      <c r="AZ49" s="345">
        <f>IF(AND(SUM($AQ$16:AQ48)&gt;0,SUM($AZ$16:AZ48)&lt;$P$62,$W49&gt;=$P$65),$P$64,0)</f>
        <v/>
      </c>
      <c r="BA49" s="345">
        <f>IF(SUM($AQ$17:$AQ48)&gt;0,($P$62-SUM($AZ$17:$AZ48))*$F$65,0)</f>
        <v/>
      </c>
      <c r="BB49" s="346">
        <f>SUM(AT49:AY49)</f>
        <v/>
      </c>
      <c r="BC49" s="351">
        <f>AS49-BB49</f>
        <v/>
      </c>
      <c r="BD49" s="352">
        <f>BC49*$BF49</f>
        <v/>
      </c>
      <c r="BE49" s="393" t="n"/>
      <c r="BF49" s="47">
        <f>BF48/(1+$O$22)</f>
        <v/>
      </c>
      <c r="BH49" s="350">
        <f>AT49</f>
        <v/>
      </c>
      <c r="BI49" s="350">
        <f>AU49</f>
        <v/>
      </c>
      <c r="BJ49" s="351">
        <f>AV49</f>
        <v/>
      </c>
      <c r="BK49" s="351">
        <f>AW49</f>
        <v/>
      </c>
      <c r="BL49" s="351">
        <f>AY49</f>
        <v/>
      </c>
      <c r="BM49" s="345">
        <f>IF($W49&gt;$F$16,$F$56,0)</f>
        <v/>
      </c>
      <c r="BN49" s="346">
        <f>SUM(BH49:BM49)</f>
        <v/>
      </c>
      <c r="BO49" s="351">
        <f>IF($W49=$F$16,$P$32,0)</f>
        <v/>
      </c>
      <c r="BP49" s="351">
        <f>IF(AND(W49&gt;$F$16,W49&lt;=SUM($F$16:$F$17)),$P$41,0)</f>
        <v/>
      </c>
      <c r="BQ49" s="351">
        <f>IFERROR(-IPMT($P$67,W49-$F$16,$F$17,SUM(P$31,P$51)),0)</f>
        <v/>
      </c>
      <c r="BR49" s="351">
        <f>IF($W49&lt;=$O$16,$F$105,0)</f>
        <v/>
      </c>
      <c r="BS49" s="353">
        <f>IF($W49=1,SUM($O$103,$O$105),0)</f>
        <v/>
      </c>
      <c r="BT49" s="351">
        <f>IF($W49&lt;$O$16,IF(W49=$F$16,$P$93,$P$94),0)</f>
        <v/>
      </c>
      <c r="BU49" s="346">
        <f>SUM(BO49:BP49,BR49:BT49)</f>
        <v/>
      </c>
      <c r="BV49" s="346">
        <f>BN49-BU49</f>
        <v/>
      </c>
      <c r="BW49" s="342" t="n"/>
      <c r="BX49" s="338">
        <f>IFERROR(-PPMT($P$67,$W49-$F$16,$F$17,SUM(P$31,P$51)),0)</f>
        <v/>
      </c>
      <c r="BY49" s="356">
        <f>IF(BV49-BX49&gt;=0,0,1)</f>
        <v/>
      </c>
    </row>
    <row r="50" ht="15.75" customHeight="1" s="302" thickBot="1">
      <c r="C50" s="56" t="inlineStr">
        <is>
          <t>競争の効果反映</t>
        </is>
      </c>
      <c r="D50" s="0" t="inlineStr">
        <is>
          <t>％</t>
        </is>
      </c>
      <c r="F50" s="268" t="n">
        <v>0.95</v>
      </c>
      <c r="H50" s="56" t="inlineStr">
        <is>
          <t>*デフォルト値として記載</t>
        </is>
      </c>
      <c r="M50" s="0" t="inlineStr">
        <is>
          <t>引渡時SPC税金負担</t>
        </is>
      </c>
      <c r="N50" s="19" t="inlineStr">
        <is>
          <t>百万円</t>
        </is>
      </c>
      <c r="O50" s="368" t="n"/>
      <c r="P50" s="369">
        <f>SUM(P82,P86)+P92</f>
        <v/>
      </c>
      <c r="Q50" s="0" t="inlineStr">
        <is>
          <t>引渡時の不動産取得税・登録免許税</t>
        </is>
      </c>
      <c r="V50" s="58">
        <f>IF(W50=1,DATE(YEAR($F$18)+(MONTH($F$18)&gt;=4),4,0),EOMONTH(V49,12))</f>
        <v/>
      </c>
      <c r="W50" s="6" t="n">
        <v>34</v>
      </c>
      <c r="X50" s="282">
        <f>IF(W50&gt;$O$16,"-",IF($W50&lt;=$F$16,"整備期間","維持管理・運営期間"))</f>
        <v/>
      </c>
      <c r="Y50" s="344">
        <f>IF($W50=$F$16,$O$61,0)</f>
        <v/>
      </c>
      <c r="Z50" s="345">
        <f>IF($W50=$F$16,$O$63,0)</f>
        <v/>
      </c>
      <c r="AA50" s="345">
        <f>IF($W50=$F$16,$O$62,0)</f>
        <v/>
      </c>
      <c r="AB50" s="345">
        <f>IF(X50="維持管理・運営期間",$F$56,0)</f>
        <v/>
      </c>
      <c r="AC50" s="346">
        <f>SUM(Y50:Z50,AB50)</f>
        <v/>
      </c>
      <c r="AD50" s="344">
        <f>IF($W50=$F$16,$O$30,0)</f>
        <v/>
      </c>
      <c r="AE50" s="345">
        <f>IF($X50="維持管理・運営期間",$O$41,0)</f>
        <v/>
      </c>
      <c r="AF50" s="345">
        <f>IF(AND($W50&gt;0,$W50&lt;=$O$16),$E$45,0)</f>
        <v/>
      </c>
      <c r="AG50" s="345">
        <f>IF(AND(SUM($AA$16:AA49)&gt;0,SUM($AG$16:AG49)&lt;$O$62,$W50&gt;=$O$65),$O$64,0)</f>
        <v/>
      </c>
      <c r="AH50" s="351">
        <f>IF(SUM($AA$17:$AA49)&gt;0,($O$62-SUM($AG$17:$AG49))*$F$65,0)</f>
        <v/>
      </c>
      <c r="AI50" s="346">
        <f>SUM(AD50:AF50)</f>
        <v/>
      </c>
      <c r="AJ50" s="351">
        <f>AC50-AI50</f>
        <v/>
      </c>
      <c r="AK50" s="338">
        <f>(SUM($P$31,$P$51)-SUM($AU$17:AU49))*$O$109</f>
        <v/>
      </c>
      <c r="AL50" s="348" t="n"/>
      <c r="AM50" s="352">
        <f>AJ50*$BF50</f>
        <v/>
      </c>
      <c r="AN50" s="349" t="n"/>
      <c r="AO50" s="350">
        <f>IF($W50=$F$16,$P$61,0)</f>
        <v/>
      </c>
      <c r="AP50" s="351">
        <f>IF($W50=$F$16,$P$63,0)</f>
        <v/>
      </c>
      <c r="AQ50" s="351">
        <f>IF($W50=$F$16,$P$62,0)</f>
        <v/>
      </c>
      <c r="AR50" s="345">
        <f>IF($W50&lt;$O$16,IF(W50=$F$16,$U$92,$U$93),0)</f>
        <v/>
      </c>
      <c r="AS50" s="346">
        <f>SUM(AO50:AP50,AR50)</f>
        <v/>
      </c>
      <c r="AT50" s="345">
        <f>IF(W50=$F$16,$P$30,0)</f>
        <v/>
      </c>
      <c r="AU50" s="345">
        <f>IFERROR(-PPMT($P$36,W50-$F$16,$F$17,SUM(P$31,P$51)),0)</f>
        <v/>
      </c>
      <c r="AV50" s="345">
        <f>IFERROR(-IPMT($P$36,W50-$F$16,$F$17,SUM($P$31,$P$51)),0)</f>
        <v/>
      </c>
      <c r="AW50" s="345">
        <f>IF(AND(W50&gt;$F$16,W50&lt;=SUM($F$16:$F$17)),$P$43,0)</f>
        <v/>
      </c>
      <c r="AX50" s="345">
        <f>IF($W50=1,$F$44,0)+IF(AND($W50&gt;0,$W50&lt;=$O$16),$F$45,0)</f>
        <v/>
      </c>
      <c r="AY50" s="345">
        <f>IF(AND(W50&gt;$F$16,W50&lt;=SUM($F$16:$F$17)),$P$54,0)</f>
        <v/>
      </c>
      <c r="AZ50" s="345">
        <f>IF(AND(SUM($AQ$16:AQ49)&gt;0,SUM($AZ$16:AZ49)&lt;$P$62,$W50&gt;=$P$65),$P$64,0)</f>
        <v/>
      </c>
      <c r="BA50" s="345">
        <f>IF(SUM($AQ$17:$AQ49)&gt;0,($P$62-SUM($AZ$17:$AZ49))*$F$65,0)</f>
        <v/>
      </c>
      <c r="BB50" s="346">
        <f>SUM(AT50:AY50)</f>
        <v/>
      </c>
      <c r="BC50" s="351">
        <f>AS50-BB50</f>
        <v/>
      </c>
      <c r="BD50" s="352">
        <f>BC50*$BF50</f>
        <v/>
      </c>
      <c r="BE50" s="393" t="n"/>
      <c r="BF50" s="47">
        <f>BF49/(1+$O$22)</f>
        <v/>
      </c>
      <c r="BH50" s="350">
        <f>AT50</f>
        <v/>
      </c>
      <c r="BI50" s="350">
        <f>AU50</f>
        <v/>
      </c>
      <c r="BJ50" s="351">
        <f>AV50</f>
        <v/>
      </c>
      <c r="BK50" s="351">
        <f>AW50</f>
        <v/>
      </c>
      <c r="BL50" s="351">
        <f>AY50</f>
        <v/>
      </c>
      <c r="BM50" s="345">
        <f>IF($W50&gt;$F$16,$F$56,0)</f>
        <v/>
      </c>
      <c r="BN50" s="346">
        <f>SUM(BH50:BM50)</f>
        <v/>
      </c>
      <c r="BO50" s="351">
        <f>IF($W50=$F$16,$P$32,0)</f>
        <v/>
      </c>
      <c r="BP50" s="351">
        <f>IF(AND(W50&gt;$F$16,W50&lt;=SUM($F$16:$F$17)),$P$41,0)</f>
        <v/>
      </c>
      <c r="BQ50" s="351">
        <f>IFERROR(-IPMT($P$67,W50-$F$16,$F$17,SUM(P$31,P$51)),0)</f>
        <v/>
      </c>
      <c r="BR50" s="351">
        <f>IF($W50&lt;=$O$16,$F$105,0)</f>
        <v/>
      </c>
      <c r="BS50" s="353">
        <f>IF($W50=1,SUM($O$103,$O$105),0)</f>
        <v/>
      </c>
      <c r="BT50" s="351">
        <f>IF($W50&lt;$O$16,IF(W50=$F$16,$P$93,$P$94),0)</f>
        <v/>
      </c>
      <c r="BU50" s="346">
        <f>SUM(BO50:BP50,BR50:BT50)</f>
        <v/>
      </c>
      <c r="BV50" s="346">
        <f>BN50-BU50</f>
        <v/>
      </c>
      <c r="BW50" s="342" t="n"/>
      <c r="BX50" s="338">
        <f>IFERROR(-PPMT($P$67,$W50-$F$16,$F$17,SUM(P$31,P$51)),0)</f>
        <v/>
      </c>
      <c r="BY50" s="356">
        <f>IF(BV50-BX50&gt;=0,0,1)</f>
        <v/>
      </c>
    </row>
    <row r="51" ht="15.75" customHeight="1" s="302" thickBot="1">
      <c r="B51" s="56" t="n"/>
      <c r="C51" s="56" t="inlineStr">
        <is>
          <t>民間が実施する場合の削減率（施設整備）</t>
        </is>
      </c>
      <c r="D51" s="0" t="inlineStr">
        <is>
          <t>％</t>
        </is>
      </c>
      <c r="F51" s="199">
        <f>事業費用概算!I32</f>
        <v/>
      </c>
      <c r="K51" s="124" t="inlineStr">
        <is>
          <t>サービス購入費（設立時費用）*サービス購入費に含める場合</t>
        </is>
      </c>
      <c r="L51" s="125" t="n"/>
      <c r="M51" s="125" t="n"/>
      <c r="N51" s="126" t="inlineStr">
        <is>
          <t>百万円</t>
        </is>
      </c>
      <c r="O51" s="370" t="n"/>
      <c r="P51" s="371">
        <f>SUM(P48:P49)*$F$47</f>
        <v/>
      </c>
      <c r="Q51" s="0" t="inlineStr">
        <is>
          <t>割賦元本に加算</t>
        </is>
      </c>
      <c r="V51" s="58">
        <f>IF(W51=1,DATE(YEAR($F$18)+(MONTH($F$18)&gt;=4),4,0),EOMONTH(V50,12))</f>
        <v/>
      </c>
      <c r="W51" s="6" t="n">
        <v>35</v>
      </c>
      <c r="X51" s="282">
        <f>IF(W51&gt;$O$16,"-",IF($W51&lt;=$F$16,"整備期間","維持管理・運営期間"))</f>
        <v/>
      </c>
      <c r="Y51" s="344">
        <f>IF($W51=$F$16,$O$61,0)</f>
        <v/>
      </c>
      <c r="Z51" s="345">
        <f>IF($W51=$F$16,$O$63,0)</f>
        <v/>
      </c>
      <c r="AA51" s="345">
        <f>IF($W51=$F$16,$O$62,0)</f>
        <v/>
      </c>
      <c r="AB51" s="345">
        <f>IF(X51="維持管理・運営期間",$F$56,0)</f>
        <v/>
      </c>
      <c r="AC51" s="346">
        <f>SUM(Y51:Z51,AB51)</f>
        <v/>
      </c>
      <c r="AD51" s="344">
        <f>IF($W51=$F$16,$O$30,0)</f>
        <v/>
      </c>
      <c r="AE51" s="345">
        <f>IF($X51="維持管理・運営期間",$O$41,0)</f>
        <v/>
      </c>
      <c r="AF51" s="345">
        <f>IF(AND($W51&gt;0,$W51&lt;=$O$16),$E$45,0)</f>
        <v/>
      </c>
      <c r="AG51" s="345">
        <f>IF(AND(SUM($AA$16:AA50)&gt;0,SUM($AG$16:AG50)&lt;$O$62,$W51&gt;=$O$65),$O$64,0)</f>
        <v/>
      </c>
      <c r="AH51" s="351">
        <f>IF(SUM($AA$17:$AA50)&gt;0,($O$62-SUM($AG$17:$AG50))*$F$65,0)</f>
        <v/>
      </c>
      <c r="AI51" s="346">
        <f>SUM(AD51:AF51)</f>
        <v/>
      </c>
      <c r="AJ51" s="351">
        <f>AC51-AI51</f>
        <v/>
      </c>
      <c r="AK51" s="338">
        <f>(SUM($P$31,$P$51)-SUM($AU$17:AU50))*$O$109</f>
        <v/>
      </c>
      <c r="AL51" s="348" t="n"/>
      <c r="AM51" s="352">
        <f>AJ51*$BF51</f>
        <v/>
      </c>
      <c r="AN51" s="349" t="n"/>
      <c r="AO51" s="350">
        <f>IF($W51=$F$16,$P$61,0)</f>
        <v/>
      </c>
      <c r="AP51" s="351">
        <f>IF($W51=$F$16,$P$63,0)</f>
        <v/>
      </c>
      <c r="AQ51" s="351">
        <f>IF($W51=$F$16,$P$62,0)</f>
        <v/>
      </c>
      <c r="AR51" s="345">
        <f>IF($W51&lt;$O$16,IF(W51=$F$16,$U$92,$U$93),0)</f>
        <v/>
      </c>
      <c r="AS51" s="346">
        <f>SUM(AO51:AP51,AR51)</f>
        <v/>
      </c>
      <c r="AT51" s="345">
        <f>IF(W51=$F$16,$P$30,0)</f>
        <v/>
      </c>
      <c r="AU51" s="345">
        <f>IFERROR(-PPMT($P$36,W51-$F$16,$F$17,SUM(P$31,P$51)),0)</f>
        <v/>
      </c>
      <c r="AV51" s="345">
        <f>IFERROR(-IPMT($P$36,W51-$F$16,$F$17,SUM($P$31,$P$51)),0)</f>
        <v/>
      </c>
      <c r="AW51" s="345">
        <f>IF(AND(W51&gt;$F$16,W51&lt;=SUM($F$16:$F$17)),$P$43,0)</f>
        <v/>
      </c>
      <c r="AX51" s="345">
        <f>IF($W51=1,$F$44,0)+IF(AND($W51&gt;0,$W51&lt;=$O$16),$F$45,0)</f>
        <v/>
      </c>
      <c r="AY51" s="345">
        <f>IF(AND(W51&gt;$F$16,W51&lt;=SUM($F$16:$F$17)),$P$54,0)</f>
        <v/>
      </c>
      <c r="AZ51" s="345">
        <f>IF(AND(SUM($AQ$16:AQ50)&gt;0,SUM($AZ$16:AZ50)&lt;$P$62,$W51&gt;=$P$65),$P$64,0)</f>
        <v/>
      </c>
      <c r="BA51" s="345">
        <f>IF(SUM($AQ$17:$AQ50)&gt;0,($P$62-SUM($AZ$17:$AZ50))*$F$65,0)</f>
        <v/>
      </c>
      <c r="BB51" s="346">
        <f>SUM(AT51:AY51)</f>
        <v/>
      </c>
      <c r="BC51" s="351">
        <f>AS51-BB51</f>
        <v/>
      </c>
      <c r="BD51" s="352">
        <f>BC51*$BF51</f>
        <v/>
      </c>
      <c r="BE51" s="393" t="n"/>
      <c r="BF51" s="47">
        <f>BF50/(1+$O$22)</f>
        <v/>
      </c>
      <c r="BH51" s="350">
        <f>AT51</f>
        <v/>
      </c>
      <c r="BI51" s="350">
        <f>AU51</f>
        <v/>
      </c>
      <c r="BJ51" s="351">
        <f>AV51</f>
        <v/>
      </c>
      <c r="BK51" s="351">
        <f>AW51</f>
        <v/>
      </c>
      <c r="BL51" s="351">
        <f>AY51</f>
        <v/>
      </c>
      <c r="BM51" s="345">
        <f>IF($W51&gt;$F$16,$F$56,0)</f>
        <v/>
      </c>
      <c r="BN51" s="346">
        <f>SUM(BH51:BM51)</f>
        <v/>
      </c>
      <c r="BO51" s="351">
        <f>IF($W51=$F$16,$P$32,0)</f>
        <v/>
      </c>
      <c r="BP51" s="351">
        <f>IF(AND(W51&gt;$F$16,W51&lt;=SUM($F$16:$F$17)),$P$41,0)</f>
        <v/>
      </c>
      <c r="BQ51" s="351">
        <f>IFERROR(-IPMT($P$67,W51-$F$16,$F$17,SUM(P$31,P$51)),0)</f>
        <v/>
      </c>
      <c r="BR51" s="351">
        <f>IF($W51&lt;=$O$16,$F$105,0)</f>
        <v/>
      </c>
      <c r="BS51" s="353">
        <f>IF($W51=1,SUM($O$103,$O$105),0)</f>
        <v/>
      </c>
      <c r="BT51" s="351">
        <f>IF($W51&lt;$O$16,IF(W51=$F$16,$P$93,$P$94),0)</f>
        <v/>
      </c>
      <c r="BU51" s="346">
        <f>SUM(BO51:BP51,BR51:BT51)</f>
        <v/>
      </c>
      <c r="BV51" s="346">
        <f>BN51-BU51</f>
        <v/>
      </c>
      <c r="BW51" s="342" t="n"/>
      <c r="BX51" s="338">
        <f>IFERROR(-PPMT($P$67,$W51-$F$16,$F$17,SUM(P$31,P$51)),0)</f>
        <v/>
      </c>
      <c r="BY51" s="356">
        <f>IF(BV51-BX51&gt;=0,0,1)</f>
        <v/>
      </c>
    </row>
    <row r="52" ht="15.75" customHeight="1" s="302">
      <c r="B52" s="56" t="n"/>
      <c r="C52" s="56" t="inlineStr">
        <is>
          <t>民間が実施する場合の削減率（維持管理運営）</t>
        </is>
      </c>
      <c r="D52" s="0" t="inlineStr">
        <is>
          <t>％</t>
        </is>
      </c>
      <c r="F52" s="388" t="n"/>
      <c r="H52" s="150" t="inlineStr">
        <is>
          <t>維持管理・運営なし</t>
        </is>
      </c>
      <c r="M52" s="0" t="inlineStr">
        <is>
          <t>SPC経費　年額</t>
        </is>
      </c>
      <c r="N52" s="19" t="inlineStr">
        <is>
          <t>百万円</t>
        </is>
      </c>
      <c r="O52" s="372" t="n"/>
      <c r="P52" s="373">
        <f>F105</f>
        <v/>
      </c>
      <c r="V52" s="58">
        <f>IF(W52=1,DATE(YEAR($F$18)+(MONTH($F$18)&gt;=4),4,0),EOMONTH(V51,12))</f>
        <v/>
      </c>
      <c r="W52" s="6" t="n">
        <v>36</v>
      </c>
      <c r="X52" s="282">
        <f>IF(W52&gt;$O$16,"-",IF($W52&lt;=$F$16,"整備期間","維持管理・運営期間"))</f>
        <v/>
      </c>
      <c r="Y52" s="344">
        <f>IF($W52=$F$16,$O$61,0)</f>
        <v/>
      </c>
      <c r="Z52" s="345">
        <f>IF($W52=$F$16,$O$63,0)</f>
        <v/>
      </c>
      <c r="AA52" s="345">
        <f>IF($W52=$F$16,$O$62,0)</f>
        <v/>
      </c>
      <c r="AB52" s="345">
        <f>IF(X52="維持管理・運営期間",$F$56,0)</f>
        <v/>
      </c>
      <c r="AC52" s="346">
        <f>SUM(Y52:Z52,AB52)</f>
        <v/>
      </c>
      <c r="AD52" s="344">
        <f>IF($W52=$F$16,$O$30,0)</f>
        <v/>
      </c>
      <c r="AE52" s="345">
        <f>IF($X52="維持管理・運営期間",$O$41,0)</f>
        <v/>
      </c>
      <c r="AF52" s="345">
        <f>IF(AND($W52&gt;0,$W52&lt;=$O$16),$E$45,0)</f>
        <v/>
      </c>
      <c r="AG52" s="345">
        <f>IF(AND(SUM($AA$16:AA51)&gt;0,SUM($AG$16:AG51)&lt;$O$62,$W52&gt;=$O$65),$O$64,0)</f>
        <v/>
      </c>
      <c r="AH52" s="351">
        <f>IF(SUM($AA$17:$AA51)&gt;0,($O$62-SUM($AG$17:$AG51))*$F$65,0)</f>
        <v/>
      </c>
      <c r="AI52" s="346">
        <f>SUM(AD52:AF52)</f>
        <v/>
      </c>
      <c r="AJ52" s="351">
        <f>AC52-AI52</f>
        <v/>
      </c>
      <c r="AK52" s="338">
        <f>(SUM($P$31,$P$51)-SUM($AU$17:AU51))*$O$109</f>
        <v/>
      </c>
      <c r="AL52" s="348" t="n"/>
      <c r="AM52" s="352">
        <f>AJ52*$BF52</f>
        <v/>
      </c>
      <c r="AN52" s="349" t="n"/>
      <c r="AO52" s="350">
        <f>IF($W52=$F$16,$P$61,0)</f>
        <v/>
      </c>
      <c r="AP52" s="351">
        <f>IF($W52=$F$16,$P$63,0)</f>
        <v/>
      </c>
      <c r="AQ52" s="351">
        <f>IF($W52=$F$16,$P$62,0)</f>
        <v/>
      </c>
      <c r="AR52" s="345">
        <f>IF($W52&lt;$O$16,IF(W52=$F$16,$U$92,$U$93),0)</f>
        <v/>
      </c>
      <c r="AS52" s="346">
        <f>SUM(AO52:AP52,AR52)</f>
        <v/>
      </c>
      <c r="AT52" s="345">
        <f>IF(W52=$F$16,$P$30,0)</f>
        <v/>
      </c>
      <c r="AU52" s="345">
        <f>IFERROR(-PPMT($P$36,W52-$F$16,$F$17,SUM(P$31,P$51)),0)</f>
        <v/>
      </c>
      <c r="AV52" s="345">
        <f>IFERROR(-IPMT($P$36,W52-$F$16,$F$17,SUM($P$31,$P$51)),0)</f>
        <v/>
      </c>
      <c r="AW52" s="345">
        <f>IF(AND(W52&gt;$F$16,W52&lt;=SUM($F$16:$F$17)),$P$43,0)</f>
        <v/>
      </c>
      <c r="AX52" s="345">
        <f>IF($W52=1,$F$44,0)+IF(AND($W52&gt;0,$W52&lt;=$O$16),$F$45,0)</f>
        <v/>
      </c>
      <c r="AY52" s="345">
        <f>IF(AND(W52&gt;$F$16,W52&lt;=SUM($F$16:$F$17)),$P$54,0)</f>
        <v/>
      </c>
      <c r="AZ52" s="345">
        <f>IF(AND(SUM($AQ$16:AQ51)&gt;0,SUM($AZ$16:AZ51)&lt;$P$62,$W52&gt;=$P$65),$P$64,0)</f>
        <v/>
      </c>
      <c r="BA52" s="345">
        <f>IF(SUM($AQ$17:$AQ51)&gt;0,($P$62-SUM($AZ$17:$AZ51))*$F$65,0)</f>
        <v/>
      </c>
      <c r="BB52" s="346">
        <f>SUM(AT52:AY52)</f>
        <v/>
      </c>
      <c r="BC52" s="351">
        <f>AS52-BB52</f>
        <v/>
      </c>
      <c r="BD52" s="352">
        <f>BC52*$BF52</f>
        <v/>
      </c>
      <c r="BE52" s="393" t="n"/>
      <c r="BF52" s="47">
        <f>BF51/(1+$O$22)</f>
        <v/>
      </c>
      <c r="BH52" s="350">
        <f>AT52</f>
        <v/>
      </c>
      <c r="BI52" s="350">
        <f>AU52</f>
        <v/>
      </c>
      <c r="BJ52" s="351">
        <f>AV52</f>
        <v/>
      </c>
      <c r="BK52" s="351">
        <f>AW52</f>
        <v/>
      </c>
      <c r="BL52" s="351">
        <f>AY52</f>
        <v/>
      </c>
      <c r="BM52" s="345">
        <f>IF($W52&gt;$F$16,$F$56,0)</f>
        <v/>
      </c>
      <c r="BN52" s="346">
        <f>SUM(BH52:BM52)</f>
        <v/>
      </c>
      <c r="BO52" s="351">
        <f>IF($W52=$F$16,$P$32,0)</f>
        <v/>
      </c>
      <c r="BP52" s="351">
        <f>IF(AND(W52&gt;$F$16,W52&lt;=SUM($F$16:$F$17)),$P$41,0)</f>
        <v/>
      </c>
      <c r="BQ52" s="351">
        <f>IFERROR(-IPMT($P$67,W52-$F$16,$F$17,SUM(P$31,P$51)),0)</f>
        <v/>
      </c>
      <c r="BR52" s="351">
        <f>IF($W52&lt;=$O$16,$F$105,0)</f>
        <v/>
      </c>
      <c r="BS52" s="353">
        <f>IF($W52=1,SUM($O$103,$O$105),0)</f>
        <v/>
      </c>
      <c r="BT52" s="351">
        <f>IF($W52&lt;$O$16,IF(W52=$F$16,$P$93,$P$94),0)</f>
        <v/>
      </c>
      <c r="BU52" s="346">
        <f>SUM(BO52:BP52,BR52:BT52)</f>
        <v/>
      </c>
      <c r="BV52" s="346">
        <f>BN52-BU52</f>
        <v/>
      </c>
      <c r="BW52" s="342" t="n"/>
      <c r="BX52" s="338">
        <f>IFERROR(-PPMT($P$67,$W52-$F$16,$F$17,SUM(P$31,P$51)),0)</f>
        <v/>
      </c>
      <c r="BY52" s="356">
        <f>IF(BV52-BX52&gt;=0,0,1)</f>
        <v/>
      </c>
    </row>
    <row r="53" ht="15.75" customHeight="1" s="302" thickBot="1">
      <c r="M53" s="0" t="inlineStr">
        <is>
          <t>SPC税金負担</t>
        </is>
      </c>
      <c r="N53" s="19" t="inlineStr">
        <is>
          <t>百万円</t>
        </is>
      </c>
      <c r="O53" s="372" t="n"/>
      <c r="P53" s="131">
        <f>P94</f>
        <v/>
      </c>
      <c r="V53" s="58">
        <f>IF(W53=1,DATE(YEAR($F$18)+(MONTH($F$18)&gt;=4),4,0),EOMONTH(V52,12))</f>
        <v/>
      </c>
      <c r="W53" s="6" t="n">
        <v>37</v>
      </c>
      <c r="X53" s="282">
        <f>IF(W53&gt;$O$16,"-",IF($W53&lt;=$F$16,"整備期間","維持管理・運営期間"))</f>
        <v/>
      </c>
      <c r="Y53" s="344">
        <f>IF($W53=$F$16,$O$61,0)</f>
        <v/>
      </c>
      <c r="Z53" s="345">
        <f>IF($W53=$F$16,$O$63,0)</f>
        <v/>
      </c>
      <c r="AA53" s="345">
        <f>IF($W53=$F$16,$O$62,0)</f>
        <v/>
      </c>
      <c r="AB53" s="345">
        <f>IF(X53="維持管理・運営期間",$F$56,0)</f>
        <v/>
      </c>
      <c r="AC53" s="346">
        <f>SUM(Y53:Z53,AB53)</f>
        <v/>
      </c>
      <c r="AD53" s="344">
        <f>IF($W53=$F$16,$O$30,0)</f>
        <v/>
      </c>
      <c r="AE53" s="345">
        <f>IF($X53="維持管理・運営期間",$O$41,0)</f>
        <v/>
      </c>
      <c r="AF53" s="345">
        <f>IF(AND($W53&gt;0,$W53&lt;=$O$16),$E$45,0)</f>
        <v/>
      </c>
      <c r="AG53" s="345">
        <f>IF(AND(SUM($AA$16:AA52)&gt;0,SUM($AG$16:AG52)&lt;$O$62,$W53&gt;=$O$65),$O$64,0)</f>
        <v/>
      </c>
      <c r="AH53" s="351">
        <f>IF(SUM($AA$17:$AA52)&gt;0,($O$62-SUM($AG$17:$AG52))*$F$65,0)</f>
        <v/>
      </c>
      <c r="AI53" s="346">
        <f>SUM(AD53:AF53)</f>
        <v/>
      </c>
      <c r="AJ53" s="351">
        <f>AC53-AI53</f>
        <v/>
      </c>
      <c r="AK53" s="338">
        <f>(SUM($P$31,$P$51)-SUM($AU$17:AU52))*$O$109</f>
        <v/>
      </c>
      <c r="AL53" s="348" t="n"/>
      <c r="AM53" s="352">
        <f>AJ53*$BF53</f>
        <v/>
      </c>
      <c r="AN53" s="349" t="n"/>
      <c r="AO53" s="350">
        <f>IF($W53=$F$16,$P$61,0)</f>
        <v/>
      </c>
      <c r="AP53" s="351">
        <f>IF($W53=$F$16,$P$63,0)</f>
        <v/>
      </c>
      <c r="AQ53" s="351">
        <f>IF($W53=$F$16,$P$62,0)</f>
        <v/>
      </c>
      <c r="AR53" s="345">
        <f>IF($W53&lt;$O$16,IF(W53=$F$16,$U$92,$U$93),0)</f>
        <v/>
      </c>
      <c r="AS53" s="346">
        <f>SUM(AO53:AP53,AR53)</f>
        <v/>
      </c>
      <c r="AT53" s="345">
        <f>IF(W53=$F$16,$P$30,0)</f>
        <v/>
      </c>
      <c r="AU53" s="345">
        <f>IFERROR(-PPMT($P$36,W53-$F$16,$F$17,SUM(P$31,P$51)),0)</f>
        <v/>
      </c>
      <c r="AV53" s="345">
        <f>IFERROR(-IPMT($P$36,W53-$F$16,$F$17,SUM($P$31,$P$51)),0)</f>
        <v/>
      </c>
      <c r="AW53" s="345">
        <f>IF(AND(W53&gt;$F$16,W53&lt;=SUM($F$16:$F$17)),$P$43,0)</f>
        <v/>
      </c>
      <c r="AX53" s="345">
        <f>IF($W53=1,$F$44,0)+IF(AND($W53&gt;0,$W53&lt;=$O$16),$F$45,0)</f>
        <v/>
      </c>
      <c r="AY53" s="345">
        <f>IF(AND(W53&gt;$F$16,W53&lt;=SUM($F$16:$F$17)),$P$54,0)</f>
        <v/>
      </c>
      <c r="AZ53" s="345">
        <f>IF(AND(SUM($AQ$16:AQ52)&gt;0,SUM($AZ$16:AZ52)&lt;$P$62,$W53&gt;=$P$65),$P$64,0)</f>
        <v/>
      </c>
      <c r="BA53" s="345">
        <f>IF(SUM($AQ$17:$AQ52)&gt;0,($P$62-SUM($AZ$17:$AZ52))*$F$65,0)</f>
        <v/>
      </c>
      <c r="BB53" s="346">
        <f>SUM(AT53:AY53)</f>
        <v/>
      </c>
      <c r="BC53" s="351">
        <f>AS53-BB53</f>
        <v/>
      </c>
      <c r="BD53" s="352">
        <f>BC53*$BF53</f>
        <v/>
      </c>
      <c r="BE53" s="393" t="n"/>
      <c r="BF53" s="47">
        <f>BF52/(1+$O$22)</f>
        <v/>
      </c>
      <c r="BH53" s="350">
        <f>AT53</f>
        <v/>
      </c>
      <c r="BI53" s="350">
        <f>AU53</f>
        <v/>
      </c>
      <c r="BJ53" s="351">
        <f>AV53</f>
        <v/>
      </c>
      <c r="BK53" s="351">
        <f>AW53</f>
        <v/>
      </c>
      <c r="BL53" s="351">
        <f>AY53</f>
        <v/>
      </c>
      <c r="BM53" s="345">
        <f>IF($W53&gt;$F$16,$F$56,0)</f>
        <v/>
      </c>
      <c r="BN53" s="346">
        <f>SUM(BH53:BM53)</f>
        <v/>
      </c>
      <c r="BO53" s="351">
        <f>IF($W53=$F$16,$P$32,0)</f>
        <v/>
      </c>
      <c r="BP53" s="351">
        <f>IF(AND(W53&gt;$F$16,W53&lt;=SUM($F$16:$F$17)),$P$41,0)</f>
        <v/>
      </c>
      <c r="BQ53" s="351">
        <f>IFERROR(-IPMT($P$67,W53-$F$16,$F$17,SUM(P$31,P$51)),0)</f>
        <v/>
      </c>
      <c r="BR53" s="351">
        <f>IF($W53&lt;=$O$16,$F$105,0)</f>
        <v/>
      </c>
      <c r="BS53" s="353">
        <f>IF($W53=1,SUM($O$103,$O$105),0)</f>
        <v/>
      </c>
      <c r="BT53" s="351">
        <f>IF($W53&lt;$O$16,IF(W53=$F$16,$P$93,$P$94),0)</f>
        <v/>
      </c>
      <c r="BU53" s="346">
        <f>SUM(BO53:BP53,BR53:BT53)</f>
        <v/>
      </c>
      <c r="BV53" s="346">
        <f>BN53-BU53</f>
        <v/>
      </c>
      <c r="BW53" s="342" t="n"/>
      <c r="BX53" s="338">
        <f>IFERROR(-PPMT($P$67,$W53-$F$16,$F$17,SUM(P$31,P$51)),0)</f>
        <v/>
      </c>
      <c r="BY53" s="356">
        <f>IF(BV53-BX53&gt;=0,0,1)</f>
        <v/>
      </c>
    </row>
    <row r="54" ht="15.75" customHeight="1" s="302" thickBot="1">
      <c r="A54" s="4" t="inlineStr">
        <is>
          <t>３．事業にかかる収入</t>
        </is>
      </c>
      <c r="K54" s="124" t="inlineStr">
        <is>
          <t>サービス購入費（SPC費用等）年額　*サービス購入費に含める場合</t>
        </is>
      </c>
      <c r="L54" s="125" t="n"/>
      <c r="M54" s="125" t="n"/>
      <c r="N54" s="126" t="inlineStr">
        <is>
          <t>百万円</t>
        </is>
      </c>
      <c r="O54" s="370" t="n"/>
      <c r="P54" s="371">
        <f>SUM(P52:P53)*$F$47</f>
        <v/>
      </c>
      <c r="Q54" s="0" t="inlineStr">
        <is>
          <t>別途サービス購入費として支払</t>
        </is>
      </c>
      <c r="V54" s="58">
        <f>IF(W54=1,DATE(YEAR($F$18)+(MONTH($F$18)&gt;=4),4,0),EOMONTH(V53,12))</f>
        <v/>
      </c>
      <c r="W54" s="6" t="n">
        <v>38</v>
      </c>
      <c r="X54" s="282">
        <f>IF(W54&gt;$O$16,"-",IF($W54&lt;=$F$16,"整備期間","維持管理・運営期間"))</f>
        <v/>
      </c>
      <c r="Y54" s="344">
        <f>IF($W54=$F$16,$O$61,0)</f>
        <v/>
      </c>
      <c r="Z54" s="345">
        <f>IF($W54=$F$16,$O$63,0)</f>
        <v/>
      </c>
      <c r="AA54" s="345">
        <f>IF($W54=$F$16,$O$62,0)</f>
        <v/>
      </c>
      <c r="AB54" s="345">
        <f>IF(X54="維持管理・運営期間",$F$56,0)</f>
        <v/>
      </c>
      <c r="AC54" s="346">
        <f>SUM(Y54:Z54,AB54)</f>
        <v/>
      </c>
      <c r="AD54" s="344">
        <f>IF($W54=$F$16,$O$30,0)</f>
        <v/>
      </c>
      <c r="AE54" s="345">
        <f>IF($X54="維持管理・運営期間",$O$41,0)</f>
        <v/>
      </c>
      <c r="AF54" s="345">
        <f>IF(AND($W54&gt;0,$W54&lt;=$O$16),$E$45,0)</f>
        <v/>
      </c>
      <c r="AG54" s="345">
        <f>IF(AND(SUM($AA$16:AA53)&gt;0,SUM($AG$16:AG53)&lt;$O$62,$W54&gt;=$O$65),$O$64,0)</f>
        <v/>
      </c>
      <c r="AH54" s="351">
        <f>IF(SUM($AA$17:$AA53)&gt;0,($O$62-SUM($AG$17:$AG53))*$F$65,0)</f>
        <v/>
      </c>
      <c r="AI54" s="346">
        <f>SUM(AD54:AF54)</f>
        <v/>
      </c>
      <c r="AJ54" s="351">
        <f>AC54-AI54</f>
        <v/>
      </c>
      <c r="AK54" s="338">
        <f>(SUM($P$31,$P$51)-SUM($AU$17:AU53))*$O$109</f>
        <v/>
      </c>
      <c r="AL54" s="348" t="n"/>
      <c r="AM54" s="352">
        <f>AJ54*$BF54</f>
        <v/>
      </c>
      <c r="AN54" s="349" t="n"/>
      <c r="AO54" s="350">
        <f>IF($W54=$F$16,$P$61,0)</f>
        <v/>
      </c>
      <c r="AP54" s="351">
        <f>IF($W54=$F$16,$P$63,0)</f>
        <v/>
      </c>
      <c r="AQ54" s="351">
        <f>IF($W54=$F$16,$P$62,0)</f>
        <v/>
      </c>
      <c r="AR54" s="345">
        <f>IF($W54&lt;$O$16,IF(W54=$F$16,$U$92,$U$93),0)</f>
        <v/>
      </c>
      <c r="AS54" s="346">
        <f>SUM(AO54:AP54,AR54)</f>
        <v/>
      </c>
      <c r="AT54" s="345">
        <f>IF(W54=$F$16,$P$30,0)</f>
        <v/>
      </c>
      <c r="AU54" s="345">
        <f>IFERROR(-PPMT($P$36,W54-$F$16,$F$17,SUM(P$31,P$51)),0)</f>
        <v/>
      </c>
      <c r="AV54" s="345">
        <f>IFERROR(-IPMT($P$36,W54-$F$16,$F$17,SUM($P$31,$P$51)),0)</f>
        <v/>
      </c>
      <c r="AW54" s="345">
        <f>IF(AND(W54&gt;$F$16,W54&lt;=SUM($F$16:$F$17)),$P$43,0)</f>
        <v/>
      </c>
      <c r="AX54" s="345">
        <f>IF($W54=1,$F$44,0)+IF(AND($W54&gt;0,$W54&lt;=$O$16),$F$45,0)</f>
        <v/>
      </c>
      <c r="AY54" s="345">
        <f>IF(AND(W54&gt;$F$16,W54&lt;=SUM($F$16:$F$17)),$P$54,0)</f>
        <v/>
      </c>
      <c r="AZ54" s="345">
        <f>IF(AND(SUM($AQ$16:AQ53)&gt;0,SUM($AZ$16:AZ53)&lt;$P$62,$W54&gt;=$P$65),$P$64,0)</f>
        <v/>
      </c>
      <c r="BA54" s="345">
        <f>IF(SUM($AQ$17:$AQ53)&gt;0,($P$62-SUM($AZ$17:$AZ53))*$F$65,0)</f>
        <v/>
      </c>
      <c r="BB54" s="346">
        <f>SUM(AT54:AY54)</f>
        <v/>
      </c>
      <c r="BC54" s="351">
        <f>AS54-BB54</f>
        <v/>
      </c>
      <c r="BD54" s="352">
        <f>BC54*$BF54</f>
        <v/>
      </c>
      <c r="BE54" s="393" t="n"/>
      <c r="BF54" s="47">
        <f>BF53/(1+$O$22)</f>
        <v/>
      </c>
      <c r="BH54" s="350">
        <f>AT54</f>
        <v/>
      </c>
      <c r="BI54" s="350">
        <f>AU54</f>
        <v/>
      </c>
      <c r="BJ54" s="351">
        <f>AV54</f>
        <v/>
      </c>
      <c r="BK54" s="351">
        <f>AW54</f>
        <v/>
      </c>
      <c r="BL54" s="351">
        <f>AY54</f>
        <v/>
      </c>
      <c r="BM54" s="345">
        <f>IF($W54&gt;$F$16,$F$56,0)</f>
        <v/>
      </c>
      <c r="BN54" s="346">
        <f>SUM(BH54:BM54)</f>
        <v/>
      </c>
      <c r="BO54" s="351">
        <f>IF($W54=$F$16,$P$32,0)</f>
        <v/>
      </c>
      <c r="BP54" s="351">
        <f>IF(AND(W54&gt;$F$16,W54&lt;=SUM($F$16:$F$17)),$P$41,0)</f>
        <v/>
      </c>
      <c r="BQ54" s="351">
        <f>IFERROR(-IPMT($P$67,W54-$F$16,$F$17,SUM(P$31,P$51)),0)</f>
        <v/>
      </c>
      <c r="BR54" s="351">
        <f>IF($W54&lt;=$O$16,$F$105,0)</f>
        <v/>
      </c>
      <c r="BS54" s="353">
        <f>IF($W54=1,SUM($O$103,$O$105),0)</f>
        <v/>
      </c>
      <c r="BT54" s="351">
        <f>IF($W54&lt;$O$16,IF(W54=$F$16,$P$93,$P$94),0)</f>
        <v/>
      </c>
      <c r="BU54" s="346">
        <f>SUM(BO54:BP54,BR54:BT54)</f>
        <v/>
      </c>
      <c r="BV54" s="346">
        <f>BN54-BU54</f>
        <v/>
      </c>
      <c r="BW54" s="342" t="n"/>
      <c r="BX54" s="338">
        <f>IFERROR(-PPMT($P$67,$W54-$F$16,$F$17,SUM(P$31,P$51)),0)</f>
        <v/>
      </c>
      <c r="BY54" s="356">
        <f>IF(BV54-BX54&gt;=0,0,1)</f>
        <v/>
      </c>
    </row>
    <row r="55" ht="15.75" customHeight="1" s="302">
      <c r="V55" s="58">
        <f>IF(W55=1,DATE(YEAR($F$18)+(MONTH($F$18)&gt;=4),4,0),EOMONTH(V54,12))</f>
        <v/>
      </c>
      <c r="W55" s="6" t="n">
        <v>39</v>
      </c>
      <c r="X55" s="282">
        <f>IF(W55&gt;$O$16,"-",IF($W55&lt;=$F$16,"整備期間","維持管理・運営期間"))</f>
        <v/>
      </c>
      <c r="Y55" s="344">
        <f>IF($W55=$F$16,$O$61,0)</f>
        <v/>
      </c>
      <c r="Z55" s="345">
        <f>IF($W55=$F$16,$O$63,0)</f>
        <v/>
      </c>
      <c r="AA55" s="345">
        <f>IF($W55=$F$16,$O$62,0)</f>
        <v/>
      </c>
      <c r="AB55" s="345">
        <f>IF(X55="維持管理・運営期間",$F$56,0)</f>
        <v/>
      </c>
      <c r="AC55" s="346">
        <f>SUM(Y55:Z55,AB55)</f>
        <v/>
      </c>
      <c r="AD55" s="344">
        <f>IF($W55=$F$16,$O$30,0)</f>
        <v/>
      </c>
      <c r="AE55" s="345">
        <f>IF($X55="維持管理・運営期間",$O$41,0)</f>
        <v/>
      </c>
      <c r="AF55" s="345">
        <f>IF(AND($W55&gt;0,$W55&lt;=$O$16),$E$45,0)</f>
        <v/>
      </c>
      <c r="AG55" s="345">
        <f>IF(AND(SUM($AA$16:AA54)&gt;0,SUM($AG$16:AG54)&lt;$O$62,$W55&gt;=$O$65),$O$64,0)</f>
        <v/>
      </c>
      <c r="AH55" s="351">
        <f>IF(SUM($AA$17:$AA54)&gt;0,($O$62-SUM($AG$17:$AG54))*$F$65,0)</f>
        <v/>
      </c>
      <c r="AI55" s="346">
        <f>SUM(AD55:AF55)</f>
        <v/>
      </c>
      <c r="AJ55" s="351">
        <f>AC55-AI55</f>
        <v/>
      </c>
      <c r="AK55" s="338">
        <f>(SUM($P$31,$P$51)-SUM($AU$17:AU54))*$O$109</f>
        <v/>
      </c>
      <c r="AL55" s="348" t="n"/>
      <c r="AM55" s="352">
        <f>AJ55*$BF55</f>
        <v/>
      </c>
      <c r="AN55" s="349" t="n"/>
      <c r="AO55" s="350">
        <f>IF($W55=$F$16,$P$61,0)</f>
        <v/>
      </c>
      <c r="AP55" s="351">
        <f>IF($W55=$F$16,$P$63,0)</f>
        <v/>
      </c>
      <c r="AQ55" s="351">
        <f>IF($W55=$F$16,$P$62,0)</f>
        <v/>
      </c>
      <c r="AR55" s="345">
        <f>IF($W55&lt;$O$16,IF(W55=$F$16,$U$92,$U$93),0)</f>
        <v/>
      </c>
      <c r="AS55" s="346">
        <f>SUM(AO55:AP55,AR55)</f>
        <v/>
      </c>
      <c r="AT55" s="345">
        <f>IF(W55=$F$16,$P$30,0)</f>
        <v/>
      </c>
      <c r="AU55" s="345">
        <f>IFERROR(-PPMT($P$36,W55-$F$16,$F$17,SUM(P$31,P$51)),0)</f>
        <v/>
      </c>
      <c r="AV55" s="345">
        <f>IFERROR(-IPMT($P$36,W55-$F$16,$F$17,SUM($P$31,$P$51)),0)</f>
        <v/>
      </c>
      <c r="AW55" s="345">
        <f>IF(AND(W55&gt;$F$16,W55&lt;=SUM($F$16:$F$17)),$P$43,0)</f>
        <v/>
      </c>
      <c r="AX55" s="345">
        <f>IF($W55=1,$F$44,0)+IF(AND($W55&gt;0,$W55&lt;=$O$16),$F$45,0)</f>
        <v/>
      </c>
      <c r="AY55" s="345">
        <f>IF(AND(W55&gt;$F$16,W55&lt;=SUM($F$16:$F$17)),$P$54,0)</f>
        <v/>
      </c>
      <c r="AZ55" s="345">
        <f>IF(AND(SUM($AQ$16:AQ54)&gt;0,SUM($AZ$16:AZ54)&lt;$P$62,$W55&gt;=$P$65),$P$64,0)</f>
        <v/>
      </c>
      <c r="BA55" s="345">
        <f>IF(SUM($AQ$17:$AQ54)&gt;0,($P$62-SUM($AZ$17:$AZ54))*$F$65,0)</f>
        <v/>
      </c>
      <c r="BB55" s="346">
        <f>SUM(AT55:AY55)</f>
        <v/>
      </c>
      <c r="BC55" s="351">
        <f>AS55-BB55</f>
        <v/>
      </c>
      <c r="BD55" s="352">
        <f>BC55*$BF55</f>
        <v/>
      </c>
      <c r="BE55" s="393" t="n"/>
      <c r="BF55" s="47">
        <f>BF54/(1+$O$22)</f>
        <v/>
      </c>
      <c r="BH55" s="350">
        <f>AT55</f>
        <v/>
      </c>
      <c r="BI55" s="350">
        <f>AU55</f>
        <v/>
      </c>
      <c r="BJ55" s="351">
        <f>AV55</f>
        <v/>
      </c>
      <c r="BK55" s="351">
        <f>AW55</f>
        <v/>
      </c>
      <c r="BL55" s="351">
        <f>AY55</f>
        <v/>
      </c>
      <c r="BM55" s="345">
        <f>IF($W55&gt;$F$16,$F$56,0)</f>
        <v/>
      </c>
      <c r="BN55" s="346">
        <f>SUM(BH55:BM55)</f>
        <v/>
      </c>
      <c r="BO55" s="351">
        <f>IF($W55=$F$16,$P$32,0)</f>
        <v/>
      </c>
      <c r="BP55" s="351">
        <f>IF(AND(W55&gt;$F$16,W55&lt;=SUM($F$16:$F$17)),$P$41,0)</f>
        <v/>
      </c>
      <c r="BQ55" s="351">
        <f>IFERROR(-IPMT($P$67,W55-$F$16,$F$17,SUM(P$31,P$51)),0)</f>
        <v/>
      </c>
      <c r="BR55" s="351">
        <f>IF($W55&lt;=$O$16,$F$105,0)</f>
        <v/>
      </c>
      <c r="BS55" s="353">
        <f>IF($W55=1,SUM($O$103,$O$105),0)</f>
        <v/>
      </c>
      <c r="BT55" s="351">
        <f>IF($W55&lt;$O$16,IF(W55=$F$16,$P$93,$P$94),0)</f>
        <v/>
      </c>
      <c r="BU55" s="346">
        <f>SUM(BO55:BP55,BR55:BT55)</f>
        <v/>
      </c>
      <c r="BV55" s="346">
        <f>BN55-BU55</f>
        <v/>
      </c>
      <c r="BW55" s="342" t="n"/>
      <c r="BX55" s="338">
        <f>IFERROR(-PPMT($P$67,$W55-$F$16,$F$17,SUM(P$31,P$51)),0)</f>
        <v/>
      </c>
      <c r="BY55" s="356">
        <f>IF(BV55-BX55&gt;=0,0,1)</f>
        <v/>
      </c>
    </row>
    <row r="56" ht="15.75" customHeight="1" s="302">
      <c r="C56" s="56" t="inlineStr">
        <is>
          <t>利用料金収入（百万円、年額）</t>
        </is>
      </c>
      <c r="D56" s="0" t="inlineStr">
        <is>
          <t>百万円</t>
        </is>
      </c>
      <c r="F56" s="333" t="n">
        <v>0</v>
      </c>
      <c r="V56" s="58">
        <f>IF(W56=1,DATE(YEAR($F$18)+(MONTH($F$18)&gt;=4),4,0),EOMONTH(V55,12))</f>
        <v/>
      </c>
      <c r="W56" s="6" t="n">
        <v>40</v>
      </c>
      <c r="X56" s="282">
        <f>IF(W56&gt;$O$16,"-",IF($W56&lt;=$F$16,"整備期間","維持管理・運営期間"))</f>
        <v/>
      </c>
      <c r="Y56" s="344">
        <f>IF($W56=$F$16,$O$61,0)</f>
        <v/>
      </c>
      <c r="Z56" s="345">
        <f>IF($W56=$F$16,$O$63,0)</f>
        <v/>
      </c>
      <c r="AA56" s="345">
        <f>IF($W56=$F$16,$O$62,0)</f>
        <v/>
      </c>
      <c r="AB56" s="345">
        <f>IF(X56="維持管理・運営期間",$F$56,0)</f>
        <v/>
      </c>
      <c r="AC56" s="346">
        <f>SUM(Y56:Z56,AB56)</f>
        <v/>
      </c>
      <c r="AD56" s="344">
        <f>IF($W56=$F$16,$O$30,0)</f>
        <v/>
      </c>
      <c r="AE56" s="345">
        <f>IF($X56="維持管理・運営期間",$O$41,0)</f>
        <v/>
      </c>
      <c r="AF56" s="345">
        <f>IF(AND($W56&gt;0,$W56&lt;=$O$16),$E$45,0)</f>
        <v/>
      </c>
      <c r="AG56" s="345">
        <f>IF(AND(SUM($AA$16:AA55)&gt;0,SUM($AG$16:AG55)&lt;$O$62,$W56&gt;=$O$65),$O$64,0)</f>
        <v/>
      </c>
      <c r="AH56" s="351">
        <f>IF(SUM($AA$17:$AA55)&gt;0,($O$62-SUM($AG$17:$AG55))*$F$65,0)</f>
        <v/>
      </c>
      <c r="AI56" s="346">
        <f>SUM(AD56:AF56)</f>
        <v/>
      </c>
      <c r="AJ56" s="351">
        <f>AC56-AI56</f>
        <v/>
      </c>
      <c r="AK56" s="338">
        <f>(SUM($P$31,$P$51)-SUM($AU$17:AU55))*$O$109</f>
        <v/>
      </c>
      <c r="AL56" s="348" t="n"/>
      <c r="AM56" s="352">
        <f>AJ56*$BF56</f>
        <v/>
      </c>
      <c r="AN56" s="349" t="n"/>
      <c r="AO56" s="350">
        <f>IF($W56=$F$16,$P$61,0)</f>
        <v/>
      </c>
      <c r="AP56" s="351">
        <f>IF($W56=$F$16,$P$63,0)</f>
        <v/>
      </c>
      <c r="AQ56" s="351">
        <f>IF($W56=$F$16,$P$62,0)</f>
        <v/>
      </c>
      <c r="AR56" s="345">
        <f>IF($W56&lt;$O$16,IF(W56=$F$16,$U$92,$U$93),0)</f>
        <v/>
      </c>
      <c r="AS56" s="346">
        <f>SUM(AO56:AP56,AR56)</f>
        <v/>
      </c>
      <c r="AT56" s="345">
        <f>IF(W56=$F$16,$P$30,0)</f>
        <v/>
      </c>
      <c r="AU56" s="345">
        <f>IFERROR(-PPMT($P$36,W56-$F$16,$F$17,SUM(P$31,P$51)),0)</f>
        <v/>
      </c>
      <c r="AV56" s="345">
        <f>IFERROR(-IPMT($P$36,W56-$F$16,$F$17,SUM($P$31,$P$51)),0)</f>
        <v/>
      </c>
      <c r="AW56" s="345">
        <f>IF(AND(W56&gt;$F$16,W56&lt;=SUM($F$16:$F$17)),$P$43,0)</f>
        <v/>
      </c>
      <c r="AX56" s="345">
        <f>IF($W56=1,$F$44,0)+IF(AND($W56&gt;0,$W56&lt;=$O$16),$F$45,0)</f>
        <v/>
      </c>
      <c r="AY56" s="345">
        <f>IF(AND(W56&gt;$F$16,W56&lt;=SUM($F$16:$F$17)),$P$54,0)</f>
        <v/>
      </c>
      <c r="AZ56" s="345">
        <f>IF(AND(SUM($AQ$16:AQ55)&gt;0,SUM($AZ$16:AZ55)&lt;$P$62,$W56&gt;=$P$65),$P$64,0)</f>
        <v/>
      </c>
      <c r="BA56" s="345">
        <f>IF(SUM($AQ$17:$AQ55)&gt;0,($P$62-SUM($AZ$17:$AZ55))*$F$65,0)</f>
        <v/>
      </c>
      <c r="BB56" s="346">
        <f>SUM(AT56:AY56)</f>
        <v/>
      </c>
      <c r="BC56" s="351">
        <f>AS56-BB56</f>
        <v/>
      </c>
      <c r="BD56" s="352">
        <f>BC56*$BF56</f>
        <v/>
      </c>
      <c r="BE56" s="393" t="n"/>
      <c r="BF56" s="47">
        <f>BF55/(1+$O$22)</f>
        <v/>
      </c>
      <c r="BH56" s="350">
        <f>AT56</f>
        <v/>
      </c>
      <c r="BI56" s="350">
        <f>AU56</f>
        <v/>
      </c>
      <c r="BJ56" s="351">
        <f>AV56</f>
        <v/>
      </c>
      <c r="BK56" s="351">
        <f>AW56</f>
        <v/>
      </c>
      <c r="BL56" s="351">
        <f>AY56</f>
        <v/>
      </c>
      <c r="BM56" s="345">
        <f>IF($W56&gt;$F$16,$F$56,0)</f>
        <v/>
      </c>
      <c r="BN56" s="346">
        <f>SUM(BH56:BM56)</f>
        <v/>
      </c>
      <c r="BO56" s="351">
        <f>IF($W56=$F$16,$P$32,0)</f>
        <v/>
      </c>
      <c r="BP56" s="351">
        <f>IF(AND(W56&gt;$F$16,W56&lt;=SUM($F$16:$F$17)),$P$41,0)</f>
        <v/>
      </c>
      <c r="BQ56" s="351">
        <f>IFERROR(-IPMT($P$67,W56-$F$16,$F$17,SUM(P$31,P$51)),0)</f>
        <v/>
      </c>
      <c r="BR56" s="351">
        <f>IF($W56&lt;=$O$16,$F$105,0)</f>
        <v/>
      </c>
      <c r="BS56" s="353">
        <f>IF($W56=1,SUM($O$103,$O$105),0)</f>
        <v/>
      </c>
      <c r="BT56" s="351">
        <f>IF($W56&lt;$O$16,IF(W56=$F$16,$P$93,$P$94),0)</f>
        <v/>
      </c>
      <c r="BU56" s="346">
        <f>SUM(BO56:BP56,BR56:BT56)</f>
        <v/>
      </c>
      <c r="BV56" s="346">
        <f>BN56-BU56</f>
        <v/>
      </c>
      <c r="BW56" s="342" t="n"/>
      <c r="BX56" s="338">
        <f>IFERROR(-PPMT($P$67,$W56-$F$16,$F$17,SUM(P$31,P$51)),0)</f>
        <v/>
      </c>
      <c r="BY56" s="356">
        <f>IF(BV56-BX56&gt;=0,0,1)</f>
        <v/>
      </c>
    </row>
    <row r="57" ht="15.75" customHeight="1" s="302" thickBot="1">
      <c r="Y57" s="374" t="n"/>
      <c r="Z57" s="374" t="n"/>
      <c r="AA57" s="342" t="n"/>
      <c r="AB57" s="342" t="n"/>
      <c r="AC57" s="342" t="n"/>
      <c r="AD57" s="342" t="n"/>
      <c r="AE57" s="342" t="n"/>
      <c r="AF57" s="342" t="n"/>
      <c r="AG57" s="345" t="n"/>
      <c r="AH57" s="351" t="n"/>
      <c r="AI57" s="342" t="n"/>
      <c r="AJ57" s="342" t="n"/>
      <c r="AK57" s="337" t="n"/>
      <c r="AL57" s="337" t="n"/>
      <c r="AM57" s="337" t="n"/>
      <c r="AN57" s="337" t="n"/>
      <c r="AO57" s="337" t="n"/>
      <c r="AP57" s="342" t="n"/>
      <c r="AQ57" s="342" t="n"/>
      <c r="AR57" s="342" t="n"/>
      <c r="AS57" s="342" t="n"/>
      <c r="AT57" s="342" t="n"/>
      <c r="AU57" s="342" t="n"/>
      <c r="AV57" s="342" t="n"/>
      <c r="AW57" s="342" t="n"/>
      <c r="AX57" s="342" t="n"/>
      <c r="AY57" s="342" t="n"/>
      <c r="AZ57" s="342" t="n"/>
      <c r="BA57" s="342" t="n"/>
      <c r="BB57" s="342" t="n"/>
      <c r="BC57" s="342" t="n"/>
      <c r="BD57" s="342" t="n"/>
      <c r="BH57" s="342" t="n"/>
      <c r="BI57" s="342" t="n"/>
      <c r="BJ57" s="342" t="n"/>
      <c r="BK57" s="342" t="n"/>
      <c r="BL57" s="342" t="n"/>
      <c r="BM57" s="342" t="n"/>
      <c r="BN57" s="342" t="n"/>
      <c r="BO57" s="342" t="n"/>
      <c r="BP57" s="342" t="n"/>
      <c r="BQ57" s="342" t="n"/>
      <c r="BR57" s="342" t="n"/>
      <c r="BS57" s="342" t="n"/>
      <c r="BT57" s="342" t="n"/>
      <c r="BU57" s="342" t="n"/>
      <c r="BV57" s="342" t="n"/>
      <c r="BW57" s="342" t="n"/>
      <c r="BX57" s="342" t="n"/>
    </row>
    <row r="58" ht="15.75" customHeight="1" s="302" thickTop="1">
      <c r="A58" s="4" t="inlineStr">
        <is>
          <t>４．事業にかかる資金調達</t>
        </is>
      </c>
      <c r="E58" s="0" t="inlineStr">
        <is>
          <t>PSC</t>
        </is>
      </c>
      <c r="F58" s="0" t="inlineStr">
        <is>
          <t>PFI-LCC</t>
        </is>
      </c>
      <c r="J58" s="4" t="inlineStr">
        <is>
          <t>４．事業にかかる資金調達</t>
        </is>
      </c>
      <c r="X58" s="145" t="inlineStr">
        <is>
          <t>合計</t>
        </is>
      </c>
      <c r="Y58" s="375">
        <f>SUM(Y16:Y56)</f>
        <v/>
      </c>
      <c r="Z58" s="375">
        <f>SUM(Z16:Z56)</f>
        <v/>
      </c>
      <c r="AA58" s="375">
        <f>SUM(AA16:AA56)</f>
        <v/>
      </c>
      <c r="AB58" s="375">
        <f>SUM(AB16:AB56)</f>
        <v/>
      </c>
      <c r="AC58" s="375">
        <f>SUM(AC16:AC56)</f>
        <v/>
      </c>
      <c r="AD58" s="375">
        <f>SUM(AD16:AD56)</f>
        <v/>
      </c>
      <c r="AE58" s="375">
        <f>SUM(AE16:AE56)</f>
        <v/>
      </c>
      <c r="AF58" s="375">
        <f>SUM(AF16:AF56)</f>
        <v/>
      </c>
      <c r="AG58" s="375">
        <f>SUM(AG16:AG56)</f>
        <v/>
      </c>
      <c r="AH58" s="375">
        <f>SUM(AH16:AH56)</f>
        <v/>
      </c>
      <c r="AI58" s="375">
        <f>SUM(AI16:AI56)</f>
        <v/>
      </c>
      <c r="AJ58" s="376">
        <f>SUM(AJ16:AJ56)</f>
        <v/>
      </c>
      <c r="AK58" s="376">
        <f>SUM(AK16:AK56)</f>
        <v/>
      </c>
      <c r="AL58" s="375">
        <f>SUM(AJ58,AL16)</f>
        <v/>
      </c>
      <c r="AM58" s="376">
        <f>SUM(AM16:AM56)</f>
        <v/>
      </c>
      <c r="AN58" s="337" t="n"/>
      <c r="AO58" s="375">
        <f>SUM(AO16:AO56)</f>
        <v/>
      </c>
      <c r="AP58" s="375">
        <f>SUM(AP16:AP56)</f>
        <v/>
      </c>
      <c r="AQ58" s="375">
        <f>SUM(AQ16:AQ56)</f>
        <v/>
      </c>
      <c r="AR58" s="375">
        <f>SUM(AR16:AR56)</f>
        <v/>
      </c>
      <c r="AS58" s="375">
        <f>SUM(AS16:AS56)</f>
        <v/>
      </c>
      <c r="AT58" s="375">
        <f>SUM(AT16:AT56)</f>
        <v/>
      </c>
      <c r="AU58" s="375">
        <f>SUM(AU16:AU56)</f>
        <v/>
      </c>
      <c r="AV58" s="375">
        <f>SUM(AV16:AV56)</f>
        <v/>
      </c>
      <c r="AW58" s="375">
        <f>SUM(AW16:AW56)</f>
        <v/>
      </c>
      <c r="AX58" s="375">
        <f>SUM(AX16:AX56)</f>
        <v/>
      </c>
      <c r="AY58" s="375">
        <f>SUM(AY16:AY56)</f>
        <v/>
      </c>
      <c r="AZ58" s="375">
        <f>SUM(AZ16:AZ56)</f>
        <v/>
      </c>
      <c r="BA58" s="375">
        <f>SUM(BA16:BA56)</f>
        <v/>
      </c>
      <c r="BB58" s="375">
        <f>SUM(BB16:BB56)</f>
        <v/>
      </c>
      <c r="BC58" s="376">
        <f>SUM(BC16:BC56)</f>
        <v/>
      </c>
      <c r="BD58" s="376">
        <f>SUM(BD16:BD56)</f>
        <v/>
      </c>
      <c r="BH58" s="375">
        <f>SUM(BH16:BH56)</f>
        <v/>
      </c>
      <c r="BI58" s="375">
        <f>SUM(BI16:BI56)</f>
        <v/>
      </c>
      <c r="BJ58" s="375">
        <f>SUM(BJ16:BJ56)</f>
        <v/>
      </c>
      <c r="BK58" s="375">
        <f>SUM(BK16:BK56)</f>
        <v/>
      </c>
      <c r="BL58" s="375">
        <f>SUM(BL16:BL56)</f>
        <v/>
      </c>
      <c r="BM58" s="375">
        <f>SUM(BM16:BM56)</f>
        <v/>
      </c>
      <c r="BN58" s="375">
        <f>SUM(BN16:BN56)</f>
        <v/>
      </c>
      <c r="BO58" s="375">
        <f>SUM(BO16:BO56)</f>
        <v/>
      </c>
      <c r="BP58" s="375">
        <f>SUM(BP16:BP56)</f>
        <v/>
      </c>
      <c r="BQ58" s="375">
        <f>SUM(BQ16:BQ56)</f>
        <v/>
      </c>
      <c r="BR58" s="375">
        <f>SUM(BR16:BR56)</f>
        <v/>
      </c>
      <c r="BS58" s="375">
        <f>SUM(BS16:BS56)</f>
        <v/>
      </c>
      <c r="BT58" s="375">
        <f>SUM(BT16:BT56)</f>
        <v/>
      </c>
      <c r="BU58" s="375">
        <f>SUM(BU16:BU56)</f>
        <v/>
      </c>
      <c r="BV58" s="375">
        <f>SUM(BV16:BV56)</f>
        <v/>
      </c>
      <c r="BW58" s="337" t="n"/>
      <c r="BX58" s="377">
        <f>SUM(BX16:BX56)</f>
        <v/>
      </c>
    </row>
    <row r="59" ht="15.75" customHeight="1" s="302">
      <c r="B59" s="0" t="inlineStr">
        <is>
          <t>4.1公共側</t>
        </is>
      </c>
      <c r="C59" s="0" t="inlineStr">
        <is>
          <t>調達必要額</t>
        </is>
      </c>
      <c r="D59" s="0" t="inlineStr">
        <is>
          <t>百万円</t>
        </is>
      </c>
      <c r="E59" s="364">
        <f>O62</f>
        <v/>
      </c>
      <c r="F59" s="364">
        <f>P62</f>
        <v/>
      </c>
      <c r="J59" s="4" t="inlineStr">
        <is>
          <t>4.1公共側</t>
        </is>
      </c>
      <c r="O59" s="0" t="inlineStr">
        <is>
          <t>PSC</t>
        </is>
      </c>
      <c r="P59" s="0" t="inlineStr">
        <is>
          <t>PFI-LCC</t>
        </is>
      </c>
      <c r="AA59" s="0" t="n"/>
      <c r="AB59" s="0" t="n"/>
      <c r="AC59" s="0" t="n"/>
      <c r="AD59" s="0" t="n"/>
      <c r="AE59" s="0" t="n"/>
      <c r="AF59" s="0" t="n"/>
      <c r="AG59" s="0" t="n"/>
      <c r="AH59" s="0" t="n"/>
      <c r="AI59" s="0" t="n"/>
      <c r="AJ59" s="0" t="n"/>
      <c r="AK59" s="0" t="n"/>
      <c r="AL59" s="312" t="inlineStr">
        <is>
          <t>収支合計</t>
        </is>
      </c>
      <c r="AN59" s="0" t="n"/>
      <c r="AO59" s="0" t="n"/>
      <c r="AP59" s="0" t="n"/>
      <c r="AQ59" s="0" t="n"/>
      <c r="AR59" s="0" t="n"/>
      <c r="AS59" s="0" t="n"/>
      <c r="AT59" s="0" t="n"/>
      <c r="AU59" s="0" t="n"/>
      <c r="AV59" s="0" t="n"/>
      <c r="AW59" s="0" t="n"/>
      <c r="AX59" s="0" t="n"/>
      <c r="AY59" s="0" t="n"/>
      <c r="AZ59" s="0" t="n"/>
      <c r="BA59" s="0" t="n"/>
      <c r="BB59" s="0" t="n"/>
      <c r="BC59" s="0" t="n"/>
      <c r="BD59" s="0" t="n"/>
      <c r="BE59" s="0" t="n"/>
      <c r="BF59" s="0" t="n"/>
      <c r="BG59" s="0" t="n"/>
      <c r="BH59" s="0" t="n"/>
      <c r="BI59" s="0" t="n"/>
      <c r="BJ59" s="0" t="n"/>
      <c r="BK59" s="0" t="n"/>
      <c r="BL59" s="0" t="n"/>
      <c r="BM59" s="0" t="n"/>
      <c r="BN59" s="0" t="n"/>
      <c r="BO59" s="0" t="n"/>
      <c r="BP59" s="0" t="n"/>
      <c r="BQ59" s="0" t="n"/>
      <c r="BR59" s="0" t="n"/>
      <c r="BS59" s="0" t="n"/>
      <c r="BT59" s="0" t="n"/>
      <c r="BU59" s="0" t="n"/>
      <c r="BV59" s="0" t="n"/>
      <c r="BW59" s="0" t="n"/>
      <c r="BX59" s="0" t="n"/>
      <c r="BY59" s="0" t="n"/>
    </row>
    <row r="60" ht="15.75" customHeight="1" s="302">
      <c r="C60" s="0" t="inlineStr">
        <is>
          <t>補助金収入（％）</t>
        </is>
      </c>
      <c r="D60" s="0" t="inlineStr">
        <is>
          <t>％</t>
        </is>
      </c>
      <c r="E60" s="141" t="n">
        <v>0.4</v>
      </c>
      <c r="F60" s="141" t="n">
        <v>0.4</v>
      </c>
      <c r="K60" s="0" t="inlineStr">
        <is>
          <t>施設整備費用(インフレ考慮後）</t>
        </is>
      </c>
      <c r="N60" s="19" t="inlineStr">
        <is>
          <t>百万円</t>
        </is>
      </c>
      <c r="O60" s="358">
        <f>O29</f>
        <v/>
      </c>
      <c r="P60" s="358">
        <f>P29</f>
        <v/>
      </c>
      <c r="AK60" s="312" t="n"/>
      <c r="AL60" s="312" t="inlineStr">
        <is>
          <t>（リスク調整加算後）</t>
        </is>
      </c>
      <c r="AM60" s="312" t="n"/>
      <c r="AN60" s="312" t="n"/>
      <c r="AO60" s="312" t="n"/>
      <c r="BF60" s="312" t="n"/>
      <c r="BY60" s="0" t="n"/>
    </row>
    <row r="61" ht="10.5" customHeight="1" s="302">
      <c r="C61" s="0" t="inlineStr">
        <is>
          <t>起債への交付金（率）（％）</t>
        </is>
      </c>
      <c r="D61" s="0" t="inlineStr">
        <is>
          <t>％</t>
        </is>
      </c>
      <c r="E61" s="3" t="n">
        <v>0.3</v>
      </c>
      <c r="F61" s="3" t="n">
        <v>0.3</v>
      </c>
      <c r="K61" s="0" t="inlineStr">
        <is>
          <t>補助金</t>
        </is>
      </c>
      <c r="N61" s="19" t="inlineStr">
        <is>
          <t>百万円</t>
        </is>
      </c>
      <c r="O61" s="358">
        <f>O60*$F$60</f>
        <v/>
      </c>
      <c r="P61" s="358">
        <f>P60*$F$60</f>
        <v/>
      </c>
      <c r="V61" s="19" t="n"/>
      <c r="AK61" s="312" t="n"/>
      <c r="AL61" s="312" t="n"/>
      <c r="AM61" s="312" t="n"/>
      <c r="AN61" s="312" t="n"/>
      <c r="AO61" s="312" t="n"/>
      <c r="BF61" s="312" t="n"/>
    </row>
    <row r="62" ht="15.75" customHeight="1" s="302">
      <c r="C62" s="275" t="inlineStr">
        <is>
          <t>起債充当率（％）</t>
        </is>
      </c>
      <c r="D62" s="0" t="inlineStr">
        <is>
          <t>％</t>
        </is>
      </c>
      <c r="E62" s="3" t="n">
        <v>0.75</v>
      </c>
      <c r="F62" s="3" t="n">
        <v>0.75</v>
      </c>
      <c r="J62" s="4" t="n"/>
      <c r="K62" s="0" t="inlineStr">
        <is>
          <t>起債発行額（額）</t>
        </is>
      </c>
      <c r="N62" s="19" t="inlineStr">
        <is>
          <t>百万円</t>
        </is>
      </c>
      <c r="O62" s="358">
        <f>(O60-O61)*$F$62</f>
        <v/>
      </c>
      <c r="P62" s="358">
        <f>(P30-P61)*$F$62</f>
        <v/>
      </c>
      <c r="V62" s="19" t="n"/>
    </row>
    <row r="63" ht="15.75" customHeight="1" s="302">
      <c r="C63" s="0" t="inlineStr">
        <is>
          <t>据置期間</t>
        </is>
      </c>
      <c r="D63" s="0" t="inlineStr">
        <is>
          <t>年</t>
        </is>
      </c>
      <c r="E63" s="333" t="n">
        <v>3</v>
      </c>
      <c r="F63" s="333" t="n">
        <v>3</v>
      </c>
      <c r="K63" s="0" t="inlineStr">
        <is>
          <t>起債への交付金（額）</t>
        </is>
      </c>
      <c r="N63" s="19" t="inlineStr">
        <is>
          <t>百万円</t>
        </is>
      </c>
      <c r="O63" s="358">
        <f>O62*$F$61</f>
        <v/>
      </c>
      <c r="P63" s="358">
        <f>P62*$F$61</f>
        <v/>
      </c>
      <c r="V63" s="19" t="n"/>
    </row>
    <row r="64" ht="15.75" customHeight="1" s="302">
      <c r="C64" s="56" t="inlineStr">
        <is>
          <t>償還期間（年）</t>
        </is>
      </c>
      <c r="D64" s="0" t="inlineStr">
        <is>
          <t>年</t>
        </is>
      </c>
      <c r="E64" s="333" t="n">
        <v>20</v>
      </c>
      <c r="F64" s="333" t="n">
        <v>20</v>
      </c>
      <c r="K64" s="0" t="inlineStr">
        <is>
          <t>起債償還額（年額）</t>
        </is>
      </c>
      <c r="N64" s="19" t="inlineStr">
        <is>
          <t>百万円</t>
        </is>
      </c>
      <c r="O64" s="358">
        <f>O62/$F$64</f>
        <v/>
      </c>
      <c r="P64" s="358">
        <f>P62/$F$64</f>
        <v/>
      </c>
      <c r="V64" s="19" t="n"/>
    </row>
    <row r="65" ht="15.75" customHeight="1" s="302">
      <c r="C65" s="56" t="inlineStr">
        <is>
          <t>地方債利回り（％）</t>
        </is>
      </c>
      <c r="D65" s="0" t="inlineStr">
        <is>
          <t>％</t>
        </is>
      </c>
      <c r="E65" s="378" t="n">
        <v>0.015</v>
      </c>
      <c r="F65" s="378" t="n">
        <v>0.015</v>
      </c>
      <c r="K65" s="0" t="inlineStr">
        <is>
          <t>償還開始時期（第●期）</t>
        </is>
      </c>
      <c r="N65" s="19" t="inlineStr">
        <is>
          <t>期</t>
        </is>
      </c>
      <c r="O65" s="358">
        <f>$F$16+E63+1</f>
        <v/>
      </c>
      <c r="P65" s="358">
        <f>$F$16+F63+1</f>
        <v/>
      </c>
    </row>
    <row r="66" ht="15.75" customHeight="1" s="302">
      <c r="B66" s="0" t="inlineStr">
        <is>
          <t>4.2民間事業者側</t>
        </is>
      </c>
      <c r="C66" s="19" t="n"/>
      <c r="J66" s="4" t="inlineStr">
        <is>
          <t>4.2民間事業者側</t>
        </is>
      </c>
      <c r="P66" s="0" t="inlineStr">
        <is>
          <t>PFI-LCC</t>
        </is>
      </c>
    </row>
    <row r="67" ht="15.75" customHeight="1" s="302">
      <c r="E67" s="0" t="inlineStr">
        <is>
          <t>PSC</t>
        </is>
      </c>
      <c r="F67" s="0" t="inlineStr">
        <is>
          <t>PFI-LCC</t>
        </is>
      </c>
      <c r="K67" s="0" t="inlineStr">
        <is>
          <t>借入金利</t>
        </is>
      </c>
      <c r="O67" s="19" t="n"/>
      <c r="P67" s="110">
        <f>SUM(F69:F70)</f>
        <v/>
      </c>
    </row>
    <row r="68" ht="15.75" customHeight="1" s="302">
      <c r="C68" s="0" t="inlineStr">
        <is>
          <t>調達必要額</t>
        </is>
      </c>
      <c r="D68" s="0" t="inlineStr">
        <is>
          <t>百万円</t>
        </is>
      </c>
      <c r="F68" s="364">
        <f>P31</f>
        <v/>
      </c>
    </row>
    <row r="69" ht="15.75" customHeight="1" s="302">
      <c r="C69" s="0" t="inlineStr">
        <is>
          <t>基準金利</t>
        </is>
      </c>
      <c r="D69" s="0" t="inlineStr">
        <is>
          <t>％</t>
        </is>
      </c>
      <c r="F69" s="17" t="n"/>
      <c r="H69" s="72" t="inlineStr">
        <is>
          <t>民間調達なし</t>
        </is>
      </c>
    </row>
    <row r="70" ht="15.75" customHeight="1" s="302">
      <c r="C70" s="0" t="inlineStr">
        <is>
          <t>スプレッド</t>
        </is>
      </c>
      <c r="D70" s="0" t="inlineStr">
        <is>
          <t>％</t>
        </is>
      </c>
      <c r="F70" s="379" t="n"/>
      <c r="H70" s="150" t="inlineStr">
        <is>
          <t>民間調達なし</t>
        </is>
      </c>
    </row>
    <row r="71" ht="15.75" customHeight="1" s="302">
      <c r="C71" s="56" t="inlineStr">
        <is>
          <t>借入金利（％）</t>
        </is>
      </c>
      <c r="D71" s="0" t="inlineStr">
        <is>
          <t>％</t>
        </is>
      </c>
    </row>
    <row r="72" ht="15.75" customHeight="1" s="302">
      <c r="A72" s="4" t="inlineStr">
        <is>
          <t>５．事業に係る税金</t>
        </is>
      </c>
      <c r="J72" s="4" t="inlineStr">
        <is>
          <t>５．事業に係る税金</t>
        </is>
      </c>
      <c r="O72" s="19" t="n"/>
      <c r="P72" s="19" t="n"/>
      <c r="R72" s="4" t="inlineStr">
        <is>
          <t>うち、発注者に納付される税金</t>
        </is>
      </c>
      <c r="S72" s="4" t="n"/>
      <c r="T72" s="4" t="n"/>
    </row>
    <row r="73" ht="15.75" customHeight="1" s="302">
      <c r="C73" s="0" t="inlineStr">
        <is>
          <t>法人税</t>
        </is>
      </c>
      <c r="O73" s="19" t="n"/>
      <c r="P73" s="5" t="inlineStr">
        <is>
          <t>法人税</t>
        </is>
      </c>
      <c r="U73" s="4" t="inlineStr">
        <is>
          <t>（都道府県）事業税</t>
        </is>
      </c>
    </row>
    <row r="74" ht="15.75" customHeight="1" s="302">
      <c r="C74" s="2" t="inlineStr">
        <is>
          <t>法人税課税標準（SPC税引前利敵）</t>
        </is>
      </c>
      <c r="D74" s="0" t="inlineStr">
        <is>
          <t>百万円</t>
        </is>
      </c>
      <c r="F74" s="380" t="n">
        <v>0</v>
      </c>
      <c r="H74" s="0" t="inlineStr">
        <is>
          <t>0をデフォルト値とする</t>
        </is>
      </c>
      <c r="N74" s="0" t="inlineStr">
        <is>
          <t>SPC税引前利益</t>
        </is>
      </c>
      <c r="O74" s="2" t="n"/>
      <c r="P74" s="334">
        <f>F74</f>
        <v/>
      </c>
      <c r="S74" s="0" t="inlineStr">
        <is>
          <t>課税標準</t>
        </is>
      </c>
      <c r="T74" s="19" t="inlineStr">
        <is>
          <t>百万円</t>
        </is>
      </c>
      <c r="U74" s="334">
        <f>F90</f>
        <v/>
      </c>
    </row>
    <row r="75" ht="15.75" customHeight="1" s="302">
      <c r="C75" s="2" t="inlineStr">
        <is>
          <t>法人税率</t>
        </is>
      </c>
      <c r="D75" s="0" t="inlineStr">
        <is>
          <t>％</t>
        </is>
      </c>
      <c r="F75" s="395" t="n">
        <v>0.3358</v>
      </c>
      <c r="H75" s="0" t="inlineStr">
        <is>
          <t>実効税率</t>
        </is>
      </c>
      <c r="N75" s="0" t="inlineStr">
        <is>
          <t>税率</t>
        </is>
      </c>
      <c r="O75" s="2" t="n"/>
      <c r="P75" s="115">
        <f>F75</f>
        <v/>
      </c>
      <c r="S75" s="0" t="inlineStr">
        <is>
          <t>税率</t>
        </is>
      </c>
      <c r="T75" s="0" t="inlineStr">
        <is>
          <t>％</t>
        </is>
      </c>
      <c r="U75" s="115">
        <f>F91</f>
        <v/>
      </c>
    </row>
    <row r="76" ht="15.75" customHeight="1" s="302">
      <c r="C76" s="0" t="inlineStr">
        <is>
          <t>法人住民税均等割</t>
        </is>
      </c>
      <c r="N76" s="0" t="inlineStr">
        <is>
          <t>税額</t>
        </is>
      </c>
      <c r="O76" s="2" t="inlineStr">
        <is>
          <t>百万円</t>
        </is>
      </c>
      <c r="P76" s="116">
        <f>P74*P75</f>
        <v/>
      </c>
      <c r="S76" s="0" t="inlineStr">
        <is>
          <t>税額</t>
        </is>
      </c>
      <c r="T76" s="19" t="inlineStr">
        <is>
          <t>百万円</t>
        </is>
      </c>
      <c r="U76" s="116">
        <f>U74*U75</f>
        <v/>
      </c>
      <c r="W76" s="113" t="n"/>
    </row>
    <row r="77" ht="15.75" customHeight="1" s="302">
      <c r="C77" s="2" t="inlineStr">
        <is>
          <t>税額</t>
        </is>
      </c>
      <c r="D77" s="0" t="inlineStr">
        <is>
          <t>百万円</t>
        </is>
      </c>
      <c r="F77" s="387" t="n">
        <v>0</v>
      </c>
      <c r="H77" s="0" t="inlineStr">
        <is>
          <t>資本金1億円以下、従業員50万人以下</t>
        </is>
      </c>
      <c r="N77" s="0" t="n"/>
      <c r="O77" s="2" t="n"/>
      <c r="P77" s="104" t="inlineStr">
        <is>
          <t>法人住民税均等割</t>
        </is>
      </c>
      <c r="T77" s="19" t="n"/>
      <c r="U77" s="4" t="inlineStr">
        <is>
          <t>（都道府県）法人住民税率</t>
        </is>
      </c>
    </row>
    <row r="78" ht="15.75" customHeight="1" s="302">
      <c r="N78" s="0" t="inlineStr">
        <is>
          <t>税額</t>
        </is>
      </c>
      <c r="O78" s="2" t="inlineStr">
        <is>
          <t>百万円</t>
        </is>
      </c>
      <c r="P78" s="382">
        <f>F77</f>
        <v/>
      </c>
      <c r="S78" s="0" t="inlineStr">
        <is>
          <t>課税標準</t>
        </is>
      </c>
      <c r="T78" s="19" t="inlineStr">
        <is>
          <t>百万円</t>
        </is>
      </c>
      <c r="U78" s="334">
        <f>F93</f>
        <v/>
      </c>
    </row>
    <row r="79" ht="15.75" customHeight="1" s="302">
      <c r="C79" s="0" t="inlineStr">
        <is>
          <t>不動産取得税</t>
        </is>
      </c>
      <c r="O79" s="2" t="n"/>
      <c r="P79" s="104" t="inlineStr">
        <is>
          <t>不動産取得税</t>
        </is>
      </c>
      <c r="S79" s="0" t="inlineStr">
        <is>
          <t>税率</t>
        </is>
      </c>
      <c r="T79" s="0" t="inlineStr">
        <is>
          <t>％</t>
        </is>
      </c>
      <c r="U79" s="115">
        <f>F94</f>
        <v/>
      </c>
    </row>
    <row r="80" ht="15.75" customHeight="1" s="302">
      <c r="C80" s="2" t="inlineStr">
        <is>
          <t>課税標準</t>
        </is>
      </c>
      <c r="D80" s="0" t="inlineStr">
        <is>
          <t>百万円</t>
        </is>
      </c>
      <c r="F80" s="387" t="n">
        <v>0</v>
      </c>
      <c r="H80" s="0" t="inlineStr">
        <is>
          <t>特例等、税制に応じて入力（施設整備額はP26セル）</t>
        </is>
      </c>
      <c r="N80" s="0" t="inlineStr">
        <is>
          <t>施設整備額</t>
        </is>
      </c>
      <c r="O80" s="2" t="n"/>
      <c r="P80" s="334">
        <f>F80</f>
        <v/>
      </c>
      <c r="S80" s="0" t="inlineStr">
        <is>
          <t>税額</t>
        </is>
      </c>
      <c r="T80" s="19" t="inlineStr">
        <is>
          <t>百万円</t>
        </is>
      </c>
      <c r="U80" s="116">
        <f>U78*U79</f>
        <v/>
      </c>
    </row>
    <row r="81" ht="15.75" customHeight="1" s="302">
      <c r="C81" s="2" t="inlineStr">
        <is>
          <t>税率</t>
        </is>
      </c>
      <c r="D81" s="0" t="inlineStr">
        <is>
          <t>％</t>
        </is>
      </c>
      <c r="F81" s="381" t="n"/>
      <c r="H81" s="72" t="inlineStr">
        <is>
          <t>BOT・BOO以外は不要</t>
        </is>
      </c>
      <c r="N81" s="0" t="inlineStr">
        <is>
          <t>税率</t>
        </is>
      </c>
      <c r="O81" s="2" t="n"/>
      <c r="P81" s="115">
        <f>F81</f>
        <v/>
      </c>
      <c r="T81" s="19" t="n"/>
      <c r="U81" s="4" t="inlineStr">
        <is>
          <t>（市町村）法人住民税率</t>
        </is>
      </c>
    </row>
    <row r="82" ht="15.75" customHeight="1" s="302">
      <c r="C82" s="0" t="inlineStr">
        <is>
          <t>固定資産税</t>
        </is>
      </c>
      <c r="N82" s="0" t="inlineStr">
        <is>
          <t>税額</t>
        </is>
      </c>
      <c r="O82" s="2" t="inlineStr">
        <is>
          <t>百万円</t>
        </is>
      </c>
      <c r="P82" s="116">
        <f>P80*P81</f>
        <v/>
      </c>
      <c r="S82" s="0" t="inlineStr">
        <is>
          <t>課税標準</t>
        </is>
      </c>
      <c r="T82" s="19" t="inlineStr">
        <is>
          <t>百万円</t>
        </is>
      </c>
      <c r="U82" s="334">
        <f>F96</f>
        <v/>
      </c>
    </row>
    <row r="83" ht="15.75" customHeight="1" s="302">
      <c r="C83" s="2" t="inlineStr">
        <is>
          <t>課税標準</t>
        </is>
      </c>
      <c r="D83" s="0" t="inlineStr">
        <is>
          <t>百万円</t>
        </is>
      </c>
      <c r="F83" s="387" t="n">
        <v>0</v>
      </c>
      <c r="H83" s="0" t="inlineStr">
        <is>
          <t>特例等、税制に応じて入力（施設整備額はP26セル）</t>
        </is>
      </c>
      <c r="O83" s="2" t="n"/>
      <c r="P83" s="104" t="inlineStr">
        <is>
          <t>登録免許税</t>
        </is>
      </c>
      <c r="S83" s="0" t="inlineStr">
        <is>
          <t>税率</t>
        </is>
      </c>
      <c r="T83" s="0" t="inlineStr">
        <is>
          <t>％</t>
        </is>
      </c>
      <c r="U83" s="115">
        <f>F97</f>
        <v/>
      </c>
    </row>
    <row r="84">
      <c r="C84" s="2" t="inlineStr">
        <is>
          <t>税率</t>
        </is>
      </c>
      <c r="D84" s="0" t="inlineStr">
        <is>
          <t>％</t>
        </is>
      </c>
      <c r="F84" s="381" t="n"/>
      <c r="H84" s="150" t="inlineStr">
        <is>
          <t>BOT・BOO以外は不要</t>
        </is>
      </c>
      <c r="N84" s="0" t="inlineStr">
        <is>
          <t>施設整備額</t>
        </is>
      </c>
      <c r="O84" s="2" t="n"/>
      <c r="P84" s="334">
        <f>F83</f>
        <v/>
      </c>
      <c r="S84" s="0" t="inlineStr">
        <is>
          <t>税額</t>
        </is>
      </c>
      <c r="T84" s="19" t="inlineStr">
        <is>
          <t>百万円</t>
        </is>
      </c>
      <c r="U84" s="116">
        <f>U82*U83</f>
        <v/>
      </c>
    </row>
    <row r="85">
      <c r="C85" s="0" t="inlineStr">
        <is>
          <t>登録免許税</t>
        </is>
      </c>
      <c r="N85" s="0" t="inlineStr">
        <is>
          <t>税率</t>
        </is>
      </c>
      <c r="O85" s="2" t="n"/>
      <c r="P85" s="115">
        <f>F87</f>
        <v/>
      </c>
      <c r="T85" s="19" t="n"/>
    </row>
    <row r="86">
      <c r="C86" s="2" t="inlineStr">
        <is>
          <t>課税標準</t>
        </is>
      </c>
      <c r="D86" s="0" t="inlineStr">
        <is>
          <t>百万円</t>
        </is>
      </c>
      <c r="F86" s="387" t="n">
        <v>0</v>
      </c>
      <c r="H86" s="0" t="inlineStr">
        <is>
          <t>税制に応じて入力（施設整備額はP26セル）</t>
        </is>
      </c>
      <c r="N86" s="0" t="inlineStr">
        <is>
          <t>税額</t>
        </is>
      </c>
      <c r="O86" s="2" t="inlineStr">
        <is>
          <t>百万円</t>
        </is>
      </c>
      <c r="P86" s="116">
        <f>P84*P85</f>
        <v/>
      </c>
      <c r="S86" s="0" t="inlineStr">
        <is>
          <t>（都道府県）不動産取得税　税額</t>
        </is>
      </c>
      <c r="T86" s="19" t="inlineStr">
        <is>
          <t>百万円</t>
        </is>
      </c>
      <c r="U86" s="118">
        <f>IF($F$13="都道府県",P82,0)</f>
        <v/>
      </c>
    </row>
    <row r="87">
      <c r="C87" s="2" t="inlineStr">
        <is>
          <t>税率</t>
        </is>
      </c>
      <c r="D87" s="0" t="inlineStr">
        <is>
          <t>％</t>
        </is>
      </c>
      <c r="F87" s="381" t="n"/>
      <c r="H87" s="150" t="inlineStr">
        <is>
          <t>BOT・BOO以外は不要</t>
        </is>
      </c>
      <c r="N87" s="0" t="n"/>
      <c r="O87" s="2" t="n"/>
      <c r="P87" s="384" t="inlineStr">
        <is>
          <t>固定資産税</t>
        </is>
      </c>
      <c r="S87" s="0" t="inlineStr">
        <is>
          <t>（市町村）固定資産税　税額</t>
        </is>
      </c>
      <c r="T87" s="19" t="inlineStr">
        <is>
          <t>百万円</t>
        </is>
      </c>
      <c r="U87" s="365">
        <f>IF($F$13="市町村",P90,0)</f>
        <v/>
      </c>
    </row>
    <row r="88">
      <c r="C88" s="0" t="inlineStr">
        <is>
          <t>うち、発注者への納付される税金</t>
        </is>
      </c>
      <c r="N88" s="0" t="inlineStr">
        <is>
          <t>施設整備額</t>
        </is>
      </c>
      <c r="O88" s="2" t="n"/>
      <c r="P88" s="334">
        <f>F83</f>
        <v/>
      </c>
    </row>
    <row r="89">
      <c r="C89" s="0" t="inlineStr">
        <is>
          <t>（都道府県）事業税</t>
        </is>
      </c>
      <c r="N89" s="0" t="inlineStr">
        <is>
          <t>税率</t>
        </is>
      </c>
      <c r="O89" s="2" t="n"/>
      <c r="P89" s="115">
        <f>F84</f>
        <v/>
      </c>
    </row>
    <row r="90">
      <c r="C90" s="2" t="inlineStr">
        <is>
          <t>課税標準</t>
        </is>
      </c>
      <c r="D90" s="0" t="inlineStr">
        <is>
          <t>百万円</t>
        </is>
      </c>
      <c r="F90" s="380" t="n">
        <v>0</v>
      </c>
      <c r="H90" s="0" t="inlineStr">
        <is>
          <t>0をデフォルト値とする</t>
        </is>
      </c>
      <c r="N90" s="0" t="inlineStr">
        <is>
          <t>税額</t>
        </is>
      </c>
      <c r="O90" s="2" t="inlineStr">
        <is>
          <t>百万円</t>
        </is>
      </c>
      <c r="P90" s="116">
        <f>P88*P89</f>
        <v/>
      </c>
    </row>
    <row r="91">
      <c r="C91" s="2" t="inlineStr">
        <is>
          <t>税率</t>
        </is>
      </c>
      <c r="D91" s="0" t="inlineStr">
        <is>
          <t>％</t>
        </is>
      </c>
      <c r="F91" s="333" t="n">
        <v>0</v>
      </c>
      <c r="H91" s="0" t="inlineStr">
        <is>
          <t>発注者が都道府県の場合、入力</t>
        </is>
      </c>
      <c r="K91" s="4" t="inlineStr">
        <is>
          <t>法人税等・公租公課</t>
        </is>
      </c>
      <c r="N91" s="0" t="n"/>
      <c r="O91" s="2" t="n"/>
      <c r="R91" s="4" t="inlineStr">
        <is>
          <t>発注者に納付される税金　合計</t>
        </is>
      </c>
      <c r="S91" s="4" t="n"/>
    </row>
    <row r="92">
      <c r="C92" s="0" t="inlineStr">
        <is>
          <t>（都道府県）法人住民税</t>
        </is>
      </c>
      <c r="M92" s="0" t="inlineStr">
        <is>
          <t>整備期間中</t>
        </is>
      </c>
      <c r="N92" s="0" t="inlineStr">
        <is>
          <t>税額</t>
        </is>
      </c>
      <c r="O92" s="2" t="inlineStr">
        <is>
          <t>百万円</t>
        </is>
      </c>
      <c r="P92" s="358">
        <f>P78</f>
        <v/>
      </c>
      <c r="S92" s="0" t="inlineStr">
        <is>
          <t>完工年度のみ</t>
        </is>
      </c>
      <c r="T92" s="19" t="inlineStr">
        <is>
          <t>百万円</t>
        </is>
      </c>
      <c r="U92" s="365">
        <f>SUM(F99,U76,U80,U84,U86:U87)</f>
        <v/>
      </c>
    </row>
    <row r="93">
      <c r="C93" s="2" t="inlineStr">
        <is>
          <t>課税標準</t>
        </is>
      </c>
      <c r="D93" s="0" t="inlineStr">
        <is>
          <t>百万円</t>
        </is>
      </c>
      <c r="F93" s="380" t="n">
        <v>0</v>
      </c>
      <c r="H93" s="0" t="inlineStr">
        <is>
          <t>0をデフォルト値とする</t>
        </is>
      </c>
      <c r="M93" s="0" t="inlineStr">
        <is>
          <t>完工年度のみ</t>
        </is>
      </c>
      <c r="N93" s="0" t="inlineStr">
        <is>
          <t>税額</t>
        </is>
      </c>
      <c r="O93" s="2" t="inlineStr">
        <is>
          <t>百万円</t>
        </is>
      </c>
      <c r="P93" s="385">
        <f>SUM(P76,P78,P82,P86,P90)</f>
        <v/>
      </c>
      <c r="S93" s="0" t="inlineStr">
        <is>
          <t>運営期間中</t>
        </is>
      </c>
      <c r="T93" s="19" t="inlineStr">
        <is>
          <t>百万円</t>
        </is>
      </c>
      <c r="U93" s="365">
        <f>SUM(F100,U76,U80,U84)</f>
        <v/>
      </c>
    </row>
    <row r="94">
      <c r="C94" s="2" t="inlineStr">
        <is>
          <t>税率</t>
        </is>
      </c>
      <c r="D94" s="0" t="inlineStr">
        <is>
          <t>％</t>
        </is>
      </c>
      <c r="F94" s="333" t="n">
        <v>0</v>
      </c>
      <c r="H94" s="0" t="inlineStr">
        <is>
          <t>発注者が都道府県の場合、入力</t>
        </is>
      </c>
      <c r="M94" s="0" t="inlineStr">
        <is>
          <t>運営期間中</t>
        </is>
      </c>
      <c r="N94" s="0" t="inlineStr">
        <is>
          <t>税額</t>
        </is>
      </c>
      <c r="O94" s="2" t="inlineStr">
        <is>
          <t>百万円</t>
        </is>
      </c>
      <c r="P94" s="386">
        <f>SUM(P76,P78,P90)</f>
        <v/>
      </c>
    </row>
    <row r="95">
      <c r="C95" s="56" t="inlineStr">
        <is>
          <t>（市町村）法人住民税</t>
        </is>
      </c>
    </row>
    <row r="96">
      <c r="C96" s="2" t="inlineStr">
        <is>
          <t>課税標準</t>
        </is>
      </c>
      <c r="D96" s="0" t="inlineStr">
        <is>
          <t>百万円</t>
        </is>
      </c>
      <c r="F96" s="380" t="n">
        <v>0</v>
      </c>
      <c r="H96" s="0" t="inlineStr">
        <is>
          <t>0をデフォルト値とする</t>
        </is>
      </c>
    </row>
    <row r="97">
      <c r="C97" s="2" t="inlineStr">
        <is>
          <t>税率</t>
        </is>
      </c>
      <c r="D97" s="0" t="inlineStr">
        <is>
          <t>％</t>
        </is>
      </c>
      <c r="F97" s="333" t="n">
        <v>0</v>
      </c>
      <c r="H97" s="0" t="inlineStr">
        <is>
          <t>発注者が市町村又は東京都の場合、入力</t>
        </is>
      </c>
    </row>
    <row r="99">
      <c r="C99" s="0" t="inlineStr">
        <is>
          <t>任意入力（全額）①　完工年度のみ</t>
        </is>
      </c>
      <c r="D99" s="0" t="inlineStr">
        <is>
          <t>百万円</t>
        </is>
      </c>
      <c r="F99" s="387" t="n"/>
    </row>
    <row r="100">
      <c r="C100" s="0" t="inlineStr">
        <is>
          <t>任意入力（全額）②　運営期間中</t>
        </is>
      </c>
      <c r="D100" s="0" t="inlineStr">
        <is>
          <t>百万円</t>
        </is>
      </c>
      <c r="F100" s="387" t="n"/>
    </row>
    <row r="102">
      <c r="A102" s="4" t="inlineStr">
        <is>
          <t>６．リスク調整</t>
        </is>
      </c>
      <c r="J102" s="4" t="inlineStr">
        <is>
          <t>６.リスク調整額</t>
        </is>
      </c>
      <c r="O102" s="0" t="inlineStr">
        <is>
          <t>PSC</t>
        </is>
      </c>
      <c r="P102" s="0" t="inlineStr">
        <is>
          <t>PFI-LCC</t>
        </is>
      </c>
    </row>
    <row r="103">
      <c r="C103" s="312" t="n"/>
      <c r="D103" s="312" t="n"/>
      <c r="E103" s="312" t="n"/>
      <c r="F103" s="312" t="inlineStr">
        <is>
          <t>リスク調整額</t>
        </is>
      </c>
      <c r="K103" s="0" t="inlineStr">
        <is>
          <t>5.1SPC設立費用</t>
        </is>
      </c>
      <c r="N103" s="19" t="inlineStr">
        <is>
          <t>百万円</t>
        </is>
      </c>
      <c r="O103" s="358">
        <f>F104</f>
        <v/>
      </c>
      <c r="P103" s="362" t="n"/>
    </row>
    <row r="104">
      <c r="C104" s="94" t="inlineStr">
        <is>
          <t>SPC設立費用</t>
        </is>
      </c>
      <c r="D104" s="0" t="inlineStr">
        <is>
          <t>百万円</t>
        </is>
      </c>
      <c r="F104" s="388" t="n"/>
      <c r="H104" s="150" t="inlineStr">
        <is>
          <t>SPC設立なし</t>
        </is>
      </c>
      <c r="K104" s="0" t="inlineStr">
        <is>
          <t>5.2SPC経費</t>
        </is>
      </c>
      <c r="N104" s="19" t="inlineStr">
        <is>
          <t>百万円</t>
        </is>
      </c>
      <c r="O104" s="389">
        <f>F105*O16</f>
        <v/>
      </c>
      <c r="P104" s="362" t="n"/>
    </row>
    <row r="105">
      <c r="C105" s="94" t="inlineStr">
        <is>
          <t>SPC経費（年額）</t>
        </is>
      </c>
      <c r="D105" s="0" t="inlineStr">
        <is>
          <t>百万円</t>
        </is>
      </c>
      <c r="F105" s="388" t="n"/>
      <c r="H105" s="150" t="inlineStr">
        <is>
          <t>SPC設立なし</t>
        </is>
      </c>
      <c r="K105" s="0" t="inlineStr">
        <is>
          <t>5.3SPC予備費</t>
        </is>
      </c>
      <c r="N105" s="19" t="inlineStr">
        <is>
          <t>百万円</t>
        </is>
      </c>
      <c r="O105" s="358">
        <f>F106</f>
        <v/>
      </c>
      <c r="P105" s="362" t="n"/>
    </row>
    <row r="106">
      <c r="C106" s="94" t="inlineStr">
        <is>
          <t>SPC予備費</t>
        </is>
      </c>
      <c r="D106" s="0" t="inlineStr">
        <is>
          <t>百万円</t>
        </is>
      </c>
      <c r="F106" s="388" t="n"/>
      <c r="H106" s="150" t="inlineStr">
        <is>
          <t>SPC設立なし</t>
        </is>
      </c>
      <c r="K106" s="0" t="inlineStr">
        <is>
          <t>5.4官民での利払い費用の差</t>
        </is>
      </c>
    </row>
    <row r="107">
      <c r="C107" s="94" t="n"/>
      <c r="M107" s="0" t="inlineStr">
        <is>
          <t>公共の調達金利（地方債）</t>
        </is>
      </c>
      <c r="N107" s="19" t="inlineStr">
        <is>
          <t>％</t>
        </is>
      </c>
      <c r="O107" s="390">
        <f>F65</f>
        <v/>
      </c>
      <c r="P107" s="362" t="n"/>
    </row>
    <row r="108">
      <c r="C108" s="94" t="n"/>
      <c r="M108" s="0" t="inlineStr">
        <is>
          <t>民間の借入金利</t>
        </is>
      </c>
      <c r="N108" s="19" t="inlineStr">
        <is>
          <t>％</t>
        </is>
      </c>
      <c r="O108" s="391">
        <f>P67</f>
        <v/>
      </c>
      <c r="P108" s="362" t="n"/>
    </row>
    <row r="109">
      <c r="C109" s="94" t="n"/>
      <c r="M109" s="0" t="inlineStr">
        <is>
          <t>官民での利払い差（レート）</t>
        </is>
      </c>
      <c r="N109" s="19" t="inlineStr">
        <is>
          <t>％</t>
        </is>
      </c>
      <c r="O109" s="390">
        <f>O108-O107</f>
        <v/>
      </c>
      <c r="P109" s="362" t="n"/>
    </row>
    <row r="110">
      <c r="M110" s="392" t="inlineStr">
        <is>
          <t>官民利払い費の差</t>
        </is>
      </c>
      <c r="N110" s="0" t="inlineStr">
        <is>
          <t>百万円</t>
        </is>
      </c>
      <c r="O110" s="389">
        <f>SUM(AK17:AK46)</f>
        <v/>
      </c>
      <c r="P110" s="362" t="n"/>
    </row>
    <row r="112" ht="15" customFormat="1" customHeight="1" s="264" thickBot="1">
      <c r="B112" s="264" t="inlineStr">
        <is>
          <t>END OF WORKSHEET</t>
        </is>
      </c>
      <c r="I112" s="265" t="n"/>
    </row>
    <row r="113" hidden="1" ht="19" customHeight="1" s="302" thickTop="1"/>
  </sheetData>
  <dataValidations count="2">
    <dataValidation sqref="F13" showDropDown="0" showInputMessage="1" showErrorMessage="1" allowBlank="0" type="list">
      <formula1>$O$13:$Q$13</formula1>
    </dataValidation>
    <dataValidation sqref="F47" showDropDown="0" showInputMessage="1" showErrorMessage="1" allowBlank="0" type="list">
      <formula1>$G$47:$G$48</formula1>
    </dataValidation>
  </dataValidations>
  <pageMargins left="0.2362204724409449" right="0.2362204724409449" top="0.7480314960629921" bottom="0.7480314960629921" header="0.3149606299212598" footer="0.3149606299212598"/>
  <pageSetup orientation="landscape" paperSize="8" scale="41" fitToWidth="0"/>
  <colBreaks count="2" manualBreakCount="2">
    <brk id="21" min="0" max="1048575" man="1"/>
    <brk id="59" min="0" max="1048575" man="1"/>
  </colBreaks>
</worksheet>
</file>

<file path=xl/worksheets/sheet5.xml><?xml version="1.0" encoding="utf-8"?>
<worksheet xmlns="http://schemas.openxmlformats.org/spreadsheetml/2006/main">
  <sheetPr>
    <tabColor rgb="FFFFC000"/>
    <outlinePr summaryBelow="1" summaryRight="1"/>
    <pageSetUpPr fitToPage="1"/>
  </sheetPr>
  <dimension ref="A2:CA112"/>
  <sheetViews>
    <sheetView showGridLines="0" view="pageBreakPreview" topLeftCell="T2" zoomScale="70" zoomScaleNormal="40" zoomScaleSheetLayoutView="70" workbookViewId="0">
      <selection activeCell="BB28" sqref="BB28"/>
    </sheetView>
  </sheetViews>
  <sheetFormatPr baseColWidth="10" defaultColWidth="0" defaultRowHeight="18" zeroHeight="1" outlineLevelCol="1"/>
  <cols>
    <col width="4.83203125" customWidth="1" style="302" min="1" max="1"/>
    <col width="40.6640625" customWidth="1" style="302" min="2" max="2"/>
    <col width="40.1640625" bestFit="1" customWidth="1" style="302" min="3" max="3"/>
    <col width="7.33203125" customWidth="1" style="302" min="4" max="4"/>
    <col width="8.5" bestFit="1" customWidth="1" style="302" min="5" max="5"/>
    <col width="11.5" customWidth="1" style="302" min="6" max="6"/>
    <col width="2.5" customWidth="1" style="302" min="7" max="7"/>
    <col width="43.6640625" customWidth="1" style="302" min="8" max="8"/>
    <col width="1.6640625" customWidth="1" style="302" min="9" max="9"/>
    <col outlineLevel="1" width="12.5" customWidth="1" style="302" min="10" max="11"/>
    <col outlineLevel="1" width="1.83203125" customWidth="1" style="302" min="12" max="12"/>
    <col outlineLevel="1" width="42.1640625" customWidth="1" style="302" min="13" max="13"/>
    <col outlineLevel="1" width="11.1640625" customWidth="1" style="19" min="14" max="14"/>
    <col outlineLevel="1" width="24.5" customWidth="1" style="302" min="15" max="16"/>
    <col outlineLevel="1" width="4.6640625" customWidth="1" style="302" min="17" max="17"/>
    <col outlineLevel="1" width="10" customWidth="1" style="302" min="18" max="18"/>
    <col outlineLevel="1" width="19.1640625" customWidth="1" style="302" min="19" max="19"/>
    <col outlineLevel="1" width="7.5" customWidth="1" style="302" min="20" max="20"/>
    <col outlineLevel="1" width="24.5" customWidth="1" style="302" min="21" max="21"/>
    <col width="12" customWidth="1" style="302" min="22" max="22"/>
    <col width="9.6640625" customWidth="1" style="302" min="23" max="23"/>
    <col width="21.5" customWidth="1" style="302" min="24" max="24"/>
    <col width="10.83203125" customWidth="1" style="302" min="25" max="26"/>
    <col width="10.83203125" customWidth="1" style="19" min="27" max="36"/>
    <col width="10.83203125" customWidth="1" style="312" min="37" max="38"/>
    <col width="12" customWidth="1" style="312" min="39" max="39"/>
    <col width="1.6640625" customWidth="1" style="312" min="40" max="40"/>
    <col width="10.33203125" customWidth="1" style="312" min="41" max="41"/>
    <col width="10.33203125" customWidth="1" style="19" min="42" max="45"/>
    <col width="16" customWidth="1" style="19" min="46" max="49"/>
    <col width="10.6640625" customWidth="1" style="19" min="50" max="54"/>
    <col width="12" customWidth="1" style="19" min="55" max="56"/>
    <col width="1.6640625" customWidth="1" style="19" min="57" max="57"/>
    <col width="12" customWidth="1" style="312" min="58" max="58"/>
    <col width="1.5" customWidth="1" style="19" min="59" max="59"/>
    <col width="16" customWidth="1" style="19" min="60" max="63"/>
    <col width="12" customWidth="1" style="19" min="64" max="70"/>
    <col width="16.83203125" customWidth="1" style="19" min="71" max="71"/>
    <col width="12" customWidth="1" style="19" min="72" max="74"/>
    <col width="2.1640625" customWidth="1" style="19" min="75" max="75"/>
    <col width="12" customWidth="1" style="19" min="76" max="76"/>
    <col width="21" bestFit="1" customWidth="1" style="19" min="77" max="77"/>
    <col hidden="1" width="3.33203125" customWidth="1" style="19" min="78" max="78"/>
    <col hidden="1" style="19" min="79" max="79"/>
    <col hidden="1" style="302" min="80" max="91"/>
    <col hidden="1" width="9" customWidth="1" style="302" min="92" max="16384"/>
  </cols>
  <sheetData>
    <row r="1" ht="15.75" customHeight="1" s="302"/>
    <row r="2">
      <c r="B2" s="4" t="inlineStr">
        <is>
          <t>入力箇所の説明</t>
        </is>
      </c>
      <c r="Y2" s="242" t="n"/>
      <c r="Z2" s="242" t="n"/>
      <c r="AA2" s="33" t="n"/>
      <c r="AB2" s="33" t="n"/>
      <c r="AC2" s="33" t="n"/>
      <c r="AD2" s="33" t="n"/>
      <c r="AE2" s="33" t="n"/>
      <c r="AF2" s="33" t="n"/>
      <c r="AG2" s="33" t="n"/>
      <c r="AH2" s="33" t="n"/>
      <c r="AI2" s="33" t="n"/>
      <c r="AJ2" s="33" t="n"/>
      <c r="AK2" s="313" t="n"/>
      <c r="AL2" s="313" t="n"/>
      <c r="AM2" s="313" t="n"/>
      <c r="AO2" s="313" t="n"/>
      <c r="AP2" s="33" t="n"/>
      <c r="AQ2" s="33" t="n"/>
      <c r="AR2" s="33" t="n"/>
      <c r="AS2" s="33" t="n"/>
      <c r="AT2" s="33" t="n"/>
      <c r="AU2" s="33" t="n"/>
      <c r="AV2" s="33" t="n"/>
      <c r="AW2" s="33" t="n"/>
      <c r="AX2" s="33" t="n"/>
      <c r="AY2" s="33" t="n"/>
      <c r="AZ2" s="33" t="n"/>
      <c r="BA2" s="33" t="n"/>
      <c r="BB2" s="33" t="n"/>
      <c r="BC2" s="33" t="n"/>
      <c r="BD2" s="33" t="n"/>
      <c r="BH2" s="33" t="n"/>
      <c r="BI2" s="33" t="n"/>
      <c r="BJ2" s="33" t="n"/>
      <c r="BK2" s="33" t="n"/>
      <c r="BL2" s="33" t="n"/>
      <c r="BM2" s="33" t="n"/>
      <c r="BN2" s="33" t="n"/>
      <c r="BO2" s="33" t="n"/>
      <c r="BP2" s="33" t="n"/>
      <c r="BQ2" s="33" t="n"/>
      <c r="BR2" s="33" t="n"/>
      <c r="BS2" s="33" t="n"/>
      <c r="BT2" s="33" t="n"/>
      <c r="BU2" s="33" t="n"/>
      <c r="BV2" s="33" t="n"/>
    </row>
    <row r="3">
      <c r="B3" s="314" t="inlineStr">
        <is>
          <t>入力セル（手入力/プルダウンから選択）</t>
        </is>
      </c>
      <c r="Y3" s="242" t="n"/>
      <c r="Z3" s="242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13" t="n"/>
      <c r="AL3" s="313" t="n"/>
      <c r="AM3" s="313" t="n"/>
      <c r="AO3" s="313" t="n"/>
      <c r="AP3" s="33" t="n"/>
      <c r="AQ3" s="33" t="n"/>
      <c r="AR3" s="33" t="n"/>
      <c r="AS3" s="33" t="n"/>
      <c r="AT3" s="33" t="n"/>
      <c r="AU3" s="33" t="n"/>
      <c r="AV3" s="33" t="n"/>
      <c r="AW3" s="33" t="n"/>
      <c r="AX3" s="33" t="n"/>
      <c r="AY3" s="33" t="n"/>
      <c r="AZ3" s="33" t="n"/>
      <c r="BA3" s="33" t="n"/>
      <c r="BB3" s="33" t="n"/>
      <c r="BC3" s="33" t="n"/>
      <c r="BD3" s="33" t="n"/>
      <c r="BH3" s="33" t="n"/>
      <c r="BI3" s="33" t="n"/>
      <c r="BJ3" s="33" t="n"/>
      <c r="BK3" s="33" t="n"/>
      <c r="BL3" s="33" t="n"/>
      <c r="BM3" s="33" t="n"/>
      <c r="BN3" s="33" t="n"/>
      <c r="BO3" s="33" t="n"/>
      <c r="BP3" s="33" t="n"/>
      <c r="BQ3" s="33" t="n"/>
      <c r="BR3" s="33" t="n"/>
      <c r="BS3" s="33" t="n"/>
      <c r="BT3" s="33" t="n"/>
      <c r="BU3" s="33" t="n"/>
      <c r="BV3" s="33" t="n"/>
    </row>
    <row r="4">
      <c r="B4" s="271" t="inlineStr">
        <is>
          <t>デフォルト値</t>
        </is>
      </c>
      <c r="Y4" s="242" t="n"/>
      <c r="Z4" s="242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13" t="n"/>
      <c r="AL4" s="313" t="n"/>
      <c r="AM4" s="313" t="n"/>
      <c r="AO4" s="313" t="n"/>
      <c r="AP4" s="33" t="n"/>
      <c r="AQ4" s="33" t="n"/>
      <c r="AR4" s="33" t="n"/>
      <c r="AS4" s="33" t="n"/>
      <c r="AT4" s="33" t="n"/>
      <c r="AU4" s="33" t="n"/>
      <c r="AV4" s="33" t="n"/>
      <c r="AW4" s="33" t="n"/>
      <c r="AX4" s="33" t="n"/>
      <c r="AY4" s="33" t="n"/>
      <c r="AZ4" s="33" t="n"/>
      <c r="BA4" s="33" t="n"/>
      <c r="BB4" s="33" t="n"/>
      <c r="BC4" s="33" t="n"/>
      <c r="BD4" s="33" t="n"/>
      <c r="BH4" s="33" t="n"/>
      <c r="BI4" s="33" t="n"/>
      <c r="BJ4" s="33" t="n"/>
      <c r="BK4" s="33" t="n"/>
      <c r="BL4" s="33" t="n"/>
      <c r="BM4" s="33" t="n"/>
      <c r="BN4" s="33" t="n"/>
      <c r="BO4" s="33" t="n"/>
      <c r="BP4" s="33" t="n"/>
      <c r="BQ4" s="33" t="n"/>
      <c r="BR4" s="33" t="n"/>
      <c r="BS4" s="33" t="n"/>
      <c r="BT4" s="33" t="n"/>
      <c r="BU4" s="33" t="n"/>
      <c r="BV4" s="33" t="n"/>
    </row>
    <row r="5" ht="15.75" customHeight="1" s="302">
      <c r="B5" s="315" t="inlineStr">
        <is>
          <t>他セルからの参照（入力不要）</t>
        </is>
      </c>
      <c r="Y5" s="242" t="n"/>
      <c r="Z5" s="242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13" t="n"/>
      <c r="AL5" s="313" t="n"/>
      <c r="AM5" s="313" t="n"/>
      <c r="AO5" s="313" t="n"/>
      <c r="AP5" s="33" t="n"/>
      <c r="AQ5" s="33" t="n"/>
      <c r="AR5" s="33" t="n"/>
      <c r="AS5" s="33" t="n"/>
      <c r="AT5" s="33" t="n"/>
      <c r="AU5" s="33" t="n"/>
      <c r="AV5" s="33" t="n"/>
      <c r="AW5" s="33" t="n"/>
      <c r="AX5" s="33" t="n"/>
      <c r="AY5" s="33" t="n"/>
      <c r="AZ5" s="33" t="n"/>
      <c r="BA5" s="33" t="n"/>
      <c r="BB5" s="33" t="n"/>
      <c r="BC5" s="33" t="n"/>
      <c r="BD5" s="33" t="n"/>
      <c r="BH5" s="33" t="n"/>
      <c r="BI5" s="33" t="n"/>
      <c r="BJ5" s="33" t="n"/>
      <c r="BK5" s="33" t="n"/>
      <c r="BL5" s="33" t="n"/>
      <c r="BM5" s="33" t="n"/>
      <c r="BN5" s="33" t="n"/>
      <c r="BO5" s="33" t="n"/>
      <c r="BP5" s="33" t="n"/>
      <c r="BQ5" s="33" t="n"/>
      <c r="BR5" s="33" t="n"/>
      <c r="BS5" s="33" t="n"/>
      <c r="BT5" s="33" t="n"/>
      <c r="BU5" s="33" t="n"/>
      <c r="BV5" s="33" t="n"/>
    </row>
    <row r="6" ht="15.75" customHeight="1" s="302">
      <c r="Y6" s="242" t="n"/>
      <c r="Z6" s="242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13" t="n"/>
      <c r="AL6" s="313" t="n"/>
      <c r="AM6" s="313" t="n"/>
      <c r="AO6" s="313" t="n"/>
      <c r="AP6" s="33" t="n"/>
      <c r="AQ6" s="33" t="n"/>
      <c r="AR6" s="33" t="n"/>
      <c r="AS6" s="33" t="n"/>
      <c r="AT6" s="33" t="n"/>
      <c r="AU6" s="33" t="n"/>
      <c r="AV6" s="33" t="n"/>
      <c r="AW6" s="33" t="n"/>
      <c r="AX6" s="33" t="n"/>
      <c r="AY6" s="33" t="n"/>
      <c r="AZ6" s="33" t="n"/>
      <c r="BA6" s="33" t="n"/>
      <c r="BB6" s="33" t="n"/>
      <c r="BC6" s="33" t="n"/>
      <c r="BD6" s="33" t="n"/>
      <c r="BH6" s="33" t="n"/>
      <c r="BI6" s="33" t="n"/>
      <c r="BJ6" s="33" t="n"/>
      <c r="BK6" s="33" t="n"/>
      <c r="BL6" s="33" t="n"/>
      <c r="BM6" s="33" t="n"/>
      <c r="BN6" s="33" t="n"/>
      <c r="BO6" s="33" t="n"/>
      <c r="BP6" s="33" t="n"/>
      <c r="BQ6" s="33" t="n"/>
      <c r="BR6" s="33" t="n"/>
      <c r="BS6" s="33" t="n"/>
      <c r="BT6" s="33" t="n"/>
      <c r="BU6" s="33" t="n"/>
      <c r="BV6" s="33" t="n"/>
    </row>
    <row r="7" ht="15.75" customFormat="1" customHeight="1" s="4">
      <c r="A7" s="25" t="inlineStr">
        <is>
          <t xml:space="preserve"> </t>
        </is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4" t="inlineStr">
        <is>
          <t>■計算</t>
        </is>
      </c>
      <c r="K7" s="24" t="n"/>
      <c r="L7" s="24" t="n"/>
      <c r="M7" s="24" t="n"/>
      <c r="N7" s="85" t="n"/>
      <c r="O7" s="24" t="n"/>
      <c r="P7" s="24" t="n"/>
      <c r="Q7" s="24" t="n"/>
      <c r="R7" s="24" t="n"/>
      <c r="S7" s="24" t="n"/>
      <c r="T7" s="24" t="n"/>
      <c r="U7" s="24" t="n"/>
      <c r="V7" s="22" t="inlineStr">
        <is>
          <t>■収支（アウトプット）</t>
        </is>
      </c>
      <c r="W7" s="22" t="n"/>
      <c r="X7" s="22" t="n"/>
      <c r="Y7" s="22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316" t="n"/>
      <c r="AL7" s="316" t="n"/>
      <c r="AM7" s="316" t="n"/>
      <c r="AN7" s="316" t="n"/>
      <c r="AO7" s="316" t="n"/>
      <c r="AP7" s="23" t="n"/>
      <c r="AQ7" s="23" t="n"/>
      <c r="AR7" s="23" t="n"/>
      <c r="AS7" s="23" t="n"/>
      <c r="AT7" s="23" t="n"/>
      <c r="AU7" s="23" t="n"/>
      <c r="AV7" s="23" t="n"/>
      <c r="AW7" s="23" t="n"/>
      <c r="AX7" s="23" t="n"/>
      <c r="AY7" s="23" t="n"/>
      <c r="AZ7" s="23" t="n"/>
      <c r="BA7" s="23" t="n"/>
      <c r="BB7" s="23" t="n"/>
      <c r="BC7" s="23" t="n"/>
      <c r="BD7" s="23" t="n"/>
      <c r="BE7" s="23" t="n"/>
      <c r="BF7" s="316" t="n"/>
      <c r="BG7" s="23" t="n"/>
      <c r="BH7" s="23" t="n"/>
      <c r="BI7" s="23" t="n"/>
      <c r="BJ7" s="23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3" t="n"/>
      <c r="BV7" s="23" t="n"/>
      <c r="BW7" s="23" t="n"/>
      <c r="BX7" s="23" t="n"/>
      <c r="BY7" s="23" t="n"/>
      <c r="BZ7" s="23" t="n"/>
      <c r="CA7" s="23" t="n"/>
    </row>
    <row r="8" ht="15.75" customFormat="1" customHeight="1" s="4">
      <c r="A8" s="257" t="n"/>
      <c r="B8" s="273" t="inlineStr">
        <is>
          <t>※収入・費用は全て消費税抜で入力する</t>
        </is>
      </c>
      <c r="C8" s="257" t="n"/>
      <c r="D8" s="257" t="n"/>
      <c r="E8" s="257" t="n"/>
      <c r="F8" s="257" t="n"/>
      <c r="G8" s="257" t="n"/>
      <c r="H8" s="257" t="n"/>
      <c r="I8" s="257" t="n"/>
      <c r="N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317" t="n"/>
      <c r="AL8" s="317" t="n"/>
      <c r="AM8" s="317" t="n"/>
      <c r="AN8" s="317" t="n"/>
      <c r="AO8" s="317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317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</row>
    <row r="9" ht="15.75" customHeight="1" s="302" thickBot="1">
      <c r="W9" s="55" t="inlineStr">
        <is>
          <t>VFM</t>
        </is>
      </c>
      <c r="X9" s="50" t="n"/>
      <c r="Y9" s="50" t="n"/>
      <c r="AC9" s="8" t="inlineStr">
        <is>
          <t>SPC利回り</t>
        </is>
      </c>
    </row>
    <row r="10" ht="15.75" customHeight="1" s="302">
      <c r="D10" s="0" t="inlineStr">
        <is>
          <t>単位</t>
        </is>
      </c>
      <c r="K10" s="19" t="n"/>
      <c r="L10" s="19" t="n"/>
      <c r="M10" s="19" t="n"/>
      <c r="N10" s="19" t="inlineStr">
        <is>
          <t>単位</t>
        </is>
      </c>
      <c r="O10" s="19" t="n"/>
      <c r="P10" s="19" t="n"/>
      <c r="Q10" s="19" t="inlineStr">
        <is>
          <t>備考</t>
        </is>
      </c>
      <c r="R10" s="19" t="n"/>
      <c r="S10" s="19" t="n"/>
      <c r="T10" s="19" t="n"/>
      <c r="U10" s="19" t="n"/>
      <c r="W10" s="10" t="inlineStr">
        <is>
          <t>収支差額</t>
        </is>
      </c>
      <c r="X10" s="11" t="inlineStr">
        <is>
          <t>割引・リスク調整加算後</t>
        </is>
      </c>
      <c r="Y10" s="12" t="inlineStr">
        <is>
          <t>％</t>
        </is>
      </c>
      <c r="AC10" s="9" t="inlineStr">
        <is>
          <t>PIRR</t>
        </is>
      </c>
      <c r="BQ10" s="5" t="n"/>
      <c r="BR10" s="5" t="n"/>
      <c r="BS10" s="5" t="n"/>
      <c r="BT10" s="5" t="n"/>
      <c r="BY10" s="5" t="n"/>
    </row>
    <row r="11" ht="15.75" customHeight="1" s="302" thickBot="1">
      <c r="A11" s="4" t="inlineStr">
        <is>
          <t>１．共通条件</t>
        </is>
      </c>
      <c r="J11" s="4" t="inlineStr">
        <is>
          <t>１．共通条件</t>
        </is>
      </c>
      <c r="W11" s="318">
        <f>AL58-BC58</f>
        <v/>
      </c>
      <c r="X11" s="319">
        <f>AM58-BD58</f>
        <v/>
      </c>
      <c r="Y11" s="320">
        <f>X11/AM58</f>
        <v/>
      </c>
      <c r="AC11" s="321">
        <f>IFERROR(XIRR(BV17:BV56,V17:V56),"N/A")</f>
        <v/>
      </c>
      <c r="AD11" s="56" t="inlineStr">
        <is>
          <t>借入金利以上であることを確認</t>
        </is>
      </c>
      <c r="BQ11" s="5" t="n"/>
      <c r="BR11" s="5" t="n"/>
      <c r="BS11" s="5" t="n"/>
      <c r="BT11" s="5" t="n"/>
      <c r="BY11" s="5" t="n"/>
    </row>
    <row r="12" ht="15.75" customHeight="1" s="302">
      <c r="AA12" s="0" t="n"/>
      <c r="AB12" s="0" t="n"/>
      <c r="AC12" s="0" t="n"/>
      <c r="AD12" s="0" t="n"/>
    </row>
    <row r="13" ht="15.75" customHeight="1" s="302">
      <c r="B13" s="0" t="inlineStr">
        <is>
          <t>1.1発注者区分</t>
        </is>
      </c>
      <c r="F13" s="322" t="inlineStr">
        <is>
          <t>市町村</t>
        </is>
      </c>
      <c r="J13" s="0" t="inlineStr">
        <is>
          <t>1.1発注者区分</t>
        </is>
      </c>
      <c r="O13" s="0" t="inlineStr">
        <is>
          <t>国</t>
        </is>
      </c>
      <c r="P13" s="0" t="inlineStr">
        <is>
          <t>都道府県</t>
        </is>
      </c>
      <c r="Q13" s="0" t="inlineStr">
        <is>
          <t>市町村</t>
        </is>
      </c>
      <c r="V13" s="5" t="inlineStr">
        <is>
          <t>スケジュール</t>
        </is>
      </c>
      <c r="W13" s="5" t="inlineStr">
        <is>
          <t>経過年度</t>
        </is>
      </c>
      <c r="X13" s="5" t="inlineStr">
        <is>
          <t>事業期間</t>
        </is>
      </c>
      <c r="Y13" s="59" t="inlineStr">
        <is>
          <t>PSC</t>
        </is>
      </c>
      <c r="Z13" s="60" t="n"/>
      <c r="AA13" s="60" t="n"/>
      <c r="AB13" s="60" t="n"/>
      <c r="AC13" s="60" t="n"/>
      <c r="AD13" s="60" t="n"/>
      <c r="AE13" s="60" t="n"/>
      <c r="AF13" s="60" t="n"/>
      <c r="AG13" s="60" t="n"/>
      <c r="AH13" s="60" t="n"/>
      <c r="AI13" s="60" t="n"/>
      <c r="AJ13" s="103" t="n"/>
      <c r="AK13" s="146" t="inlineStr">
        <is>
          <t>リスク調整額</t>
        </is>
      </c>
      <c r="AL13" s="323" t="n"/>
      <c r="AM13" s="96" t="n"/>
      <c r="AN13" s="32" t="n"/>
      <c r="AO13" s="208" t="inlineStr">
        <is>
          <t>PFI-LCC</t>
        </is>
      </c>
      <c r="AP13" s="209" t="n"/>
      <c r="AQ13" s="209" t="n"/>
      <c r="AR13" s="209" t="n"/>
      <c r="AS13" s="209" t="n"/>
      <c r="AT13" s="209" t="n"/>
      <c r="AU13" s="209" t="n"/>
      <c r="AV13" s="209" t="n"/>
      <c r="AW13" s="209" t="n"/>
      <c r="AX13" s="209" t="n"/>
      <c r="AY13" s="209" t="n"/>
      <c r="AZ13" s="209" t="n"/>
      <c r="BA13" s="209" t="n"/>
      <c r="BB13" s="209" t="n"/>
      <c r="BC13" s="210" t="n"/>
      <c r="BD13" s="211" t="inlineStr">
        <is>
          <t>収支</t>
        </is>
      </c>
      <c r="BE13" s="33" t="n"/>
      <c r="BF13" s="19" t="n"/>
      <c r="BH13" s="65" t="inlineStr">
        <is>
          <t>SPC</t>
        </is>
      </c>
      <c r="BI13" s="66" t="n"/>
      <c r="BJ13" s="66" t="n"/>
      <c r="BK13" s="66" t="n"/>
      <c r="BL13" s="66" t="n"/>
      <c r="BM13" s="66" t="n"/>
      <c r="BN13" s="66" t="n"/>
      <c r="BO13" s="66" t="n"/>
      <c r="BP13" s="66" t="n"/>
      <c r="BQ13" s="66" t="n"/>
      <c r="BR13" s="66" t="n"/>
      <c r="BS13" s="66" t="n"/>
      <c r="BT13" s="66" t="n"/>
      <c r="BU13" s="66" t="n"/>
      <c r="BV13" s="136" t="n"/>
      <c r="BX13" s="84" t="inlineStr">
        <is>
          <t>借入金元本返済</t>
        </is>
      </c>
      <c r="BY13" s="84" t="inlineStr">
        <is>
          <t>Checks</t>
        </is>
      </c>
    </row>
    <row r="14" ht="15.75" customHeight="1" s="302">
      <c r="B14" s="0" t="inlineStr">
        <is>
          <t>1.2事業方式</t>
        </is>
      </c>
      <c r="D14" s="0" t="inlineStr">
        <is>
          <t>-</t>
        </is>
      </c>
      <c r="F14" s="324" t="inlineStr">
        <is>
          <t>DBO</t>
        </is>
      </c>
      <c r="Y14" s="59" t="inlineStr">
        <is>
          <t>収入</t>
        </is>
      </c>
      <c r="Z14" s="60" t="n"/>
      <c r="AA14" s="60" t="n"/>
      <c r="AB14" s="60" t="n"/>
      <c r="AC14" s="61" t="n"/>
      <c r="AD14" s="59" t="inlineStr">
        <is>
          <t>支出</t>
        </is>
      </c>
      <c r="AE14" s="60" t="n"/>
      <c r="AF14" s="60" t="n"/>
      <c r="AG14" s="60" t="n"/>
      <c r="AH14" s="60" t="n"/>
      <c r="AI14" s="325" t="n"/>
      <c r="AJ14" s="326" t="inlineStr">
        <is>
          <t>収支</t>
        </is>
      </c>
      <c r="AK14" s="96" t="n"/>
      <c r="AL14" s="327" t="n"/>
      <c r="AM14" s="328" t="inlineStr">
        <is>
          <t>収支</t>
        </is>
      </c>
      <c r="AN14" s="32" t="n"/>
      <c r="AO14" s="63" t="inlineStr">
        <is>
          <t>収入</t>
        </is>
      </c>
      <c r="AP14" s="62" t="n"/>
      <c r="AQ14" s="62" t="n"/>
      <c r="AR14" s="62" t="n"/>
      <c r="AS14" s="64" t="n"/>
      <c r="AT14" s="62" t="inlineStr">
        <is>
          <t>支出</t>
        </is>
      </c>
      <c r="AU14" s="62" t="n"/>
      <c r="AV14" s="62" t="n"/>
      <c r="AW14" s="62" t="n"/>
      <c r="AX14" s="62" t="n"/>
      <c r="AY14" s="62" t="n"/>
      <c r="AZ14" s="62" t="n"/>
      <c r="BA14" s="62" t="n"/>
      <c r="BB14" s="64" t="n"/>
      <c r="BC14" s="35" t="inlineStr">
        <is>
          <t>収支</t>
        </is>
      </c>
      <c r="BD14" s="35" t="inlineStr">
        <is>
          <t>（現在価値割引後）</t>
        </is>
      </c>
      <c r="BE14" s="33" t="n"/>
      <c r="BF14" s="19" t="n"/>
      <c r="BH14" s="65" t="inlineStr">
        <is>
          <t>収入</t>
        </is>
      </c>
      <c r="BI14" s="66" t="n"/>
      <c r="BJ14" s="66" t="n"/>
      <c r="BK14" s="66" t="n"/>
      <c r="BL14" s="66" t="n"/>
      <c r="BM14" s="66" t="n"/>
      <c r="BN14" s="67" t="n"/>
      <c r="BO14" s="65" t="inlineStr">
        <is>
          <t>支出</t>
        </is>
      </c>
      <c r="BP14" s="66" t="n"/>
      <c r="BQ14" s="66" t="n"/>
      <c r="BR14" s="66" t="n"/>
      <c r="BS14" s="66" t="n"/>
      <c r="BT14" s="66" t="n"/>
      <c r="BU14" s="67" t="n"/>
      <c r="BV14" s="44" t="inlineStr">
        <is>
          <t>収支</t>
        </is>
      </c>
      <c r="BX14" s="91" t="n"/>
      <c r="BY14" s="288" t="inlineStr">
        <is>
          <t>割賦収入＞SPC支払</t>
        </is>
      </c>
    </row>
    <row r="15" ht="32.25" customFormat="1" customHeight="1" s="242">
      <c r="N15" s="33" t="n"/>
      <c r="Y15" s="39" t="inlineStr">
        <is>
          <t>補助金</t>
        </is>
      </c>
      <c r="Z15" s="40" t="inlineStr">
        <is>
          <t>交付金</t>
        </is>
      </c>
      <c r="AA15" s="40" t="inlineStr">
        <is>
          <t>起債発行額</t>
        </is>
      </c>
      <c r="AB15" s="40" t="inlineStr">
        <is>
          <t>利用料金
収入</t>
        </is>
      </c>
      <c r="AC15" s="41" t="inlineStr">
        <is>
          <t>収入計</t>
        </is>
      </c>
      <c r="AD15" s="39" t="inlineStr">
        <is>
          <t>施設整備
費用</t>
        </is>
      </c>
      <c r="AE15" s="40" t="inlineStr">
        <is>
          <t>維持管理運営費用</t>
        </is>
      </c>
      <c r="AF15" s="40" t="inlineStr">
        <is>
          <t>その他費用</t>
        </is>
      </c>
      <c r="AG15" s="40" t="inlineStr">
        <is>
          <t>起債償還額</t>
        </is>
      </c>
      <c r="AH15" s="40" t="inlineStr">
        <is>
          <t>起債利息</t>
        </is>
      </c>
      <c r="AI15" s="329" t="inlineStr">
        <is>
          <t>支出計</t>
        </is>
      </c>
      <c r="AJ15" s="330" t="n"/>
      <c r="AK15" s="83" t="inlineStr">
        <is>
          <t>官民利払費用の差</t>
        </is>
      </c>
      <c r="AL15" s="329" t="inlineStr">
        <is>
          <t>合計</t>
        </is>
      </c>
      <c r="AM15" s="331" t="inlineStr">
        <is>
          <t>（現在価値割引後）</t>
        </is>
      </c>
      <c r="AN15" s="32" t="n"/>
      <c r="AO15" s="86" t="inlineStr">
        <is>
          <t>補助金</t>
        </is>
      </c>
      <c r="AP15" s="87" t="inlineStr">
        <is>
          <t>交付金</t>
        </is>
      </c>
      <c r="AQ15" s="87" t="inlineStr">
        <is>
          <t>起債発行額</t>
        </is>
      </c>
      <c r="AR15" s="87" t="inlineStr">
        <is>
          <t>税収</t>
        </is>
      </c>
      <c r="AS15" s="43" t="inlineStr">
        <is>
          <t>収入計</t>
        </is>
      </c>
      <c r="AT15" s="87" t="inlineStr">
        <is>
          <t>施設整備サービス対価（一括払）</t>
        </is>
      </c>
      <c r="AU15" s="87" t="inlineStr">
        <is>
          <t>施設整備サービス対価（割賦元本）</t>
        </is>
      </c>
      <c r="AV15" s="87" t="inlineStr">
        <is>
          <t>施設整備サービス対価（割賦金利）</t>
        </is>
      </c>
      <c r="AW15" s="87" t="inlineStr">
        <is>
          <t>維持管理費
サービス対価</t>
        </is>
      </c>
      <c r="AX15" s="87" t="inlineStr">
        <is>
          <t>その他費用</t>
        </is>
      </c>
      <c r="AY15" s="87" t="inlineStr">
        <is>
          <t>SPC費用</t>
        </is>
      </c>
      <c r="AZ15" s="87" t="inlineStr">
        <is>
          <t>起債償還額</t>
        </is>
      </c>
      <c r="BA15" s="87" t="inlineStr">
        <is>
          <t>起債利息</t>
        </is>
      </c>
      <c r="BB15" s="43" t="inlineStr">
        <is>
          <t>支出計</t>
        </is>
      </c>
      <c r="BC15" s="88" t="n"/>
      <c r="BD15" s="43" t="n"/>
      <c r="BE15" s="33" t="n"/>
      <c r="BF15" s="262" t="inlineStr">
        <is>
          <t>割引係数</t>
        </is>
      </c>
      <c r="BG15" s="33" t="n"/>
      <c r="BH15" s="45" t="inlineStr">
        <is>
          <t>施設整備サービス対価（一括払）</t>
        </is>
      </c>
      <c r="BI15" s="37" t="inlineStr">
        <is>
          <t>施設整備サービス対価（割賦元本）</t>
        </is>
      </c>
      <c r="BJ15" s="37" t="inlineStr">
        <is>
          <t>施設整備サービス対価（割賦金利）</t>
        </is>
      </c>
      <c r="BK15" s="37" t="inlineStr">
        <is>
          <t>維持管理費
サービス対価</t>
        </is>
      </c>
      <c r="BL15" s="37" t="inlineStr">
        <is>
          <t>SPC費用
サービス対価</t>
        </is>
      </c>
      <c r="BM15" s="37" t="inlineStr">
        <is>
          <t>利用料金
収入</t>
        </is>
      </c>
      <c r="BN15" s="38" t="inlineStr">
        <is>
          <t>収入計</t>
        </is>
      </c>
      <c r="BO15" s="37" t="inlineStr">
        <is>
          <t>施設整備費用</t>
        </is>
      </c>
      <c r="BP15" s="37" t="inlineStr">
        <is>
          <t>維持管理費</t>
        </is>
      </c>
      <c r="BQ15" s="37" t="inlineStr">
        <is>
          <t>支払利息</t>
        </is>
      </c>
      <c r="BR15" s="37" t="inlineStr">
        <is>
          <t>SPC経費</t>
        </is>
      </c>
      <c r="BS15" s="37" t="inlineStr">
        <is>
          <t>SPC当初費用
(設立費用・予備費)
費用</t>
        </is>
      </c>
      <c r="BT15" s="37" t="inlineStr">
        <is>
          <t>法人税
・公租公課</t>
        </is>
      </c>
      <c r="BU15" s="38" t="inlineStr">
        <is>
          <t>支出計</t>
        </is>
      </c>
      <c r="BV15" s="38" t="n"/>
      <c r="BW15" s="33" t="n"/>
      <c r="BX15" s="92" t="n"/>
      <c r="BY15" s="332">
        <f>IF(SUM(BY17:BY46)=0,0,1)</f>
        <v/>
      </c>
      <c r="BZ15" s="33" t="n"/>
    </row>
    <row r="16" ht="15.75" customHeight="1" s="302">
      <c r="B16" s="0" t="inlineStr">
        <is>
          <t>1.3事業期間</t>
        </is>
      </c>
      <c r="C16" s="0" t="inlineStr">
        <is>
          <t>整備期間</t>
        </is>
      </c>
      <c r="D16" s="0" t="inlineStr">
        <is>
          <t>年</t>
        </is>
      </c>
      <c r="F16" s="333" t="n">
        <v>3</v>
      </c>
      <c r="J16" s="4" t="inlineStr">
        <is>
          <t>1.3事業期間（全体）</t>
        </is>
      </c>
      <c r="N16" s="19" t="inlineStr">
        <is>
          <t>年</t>
        </is>
      </c>
      <c r="O16" s="334">
        <f>SUM(F16:F17)</f>
        <v/>
      </c>
      <c r="V16" s="104" t="inlineStr">
        <is>
          <t>リスク調整額</t>
        </is>
      </c>
      <c r="Y16" s="335" t="n"/>
      <c r="Z16" s="336" t="n"/>
      <c r="AA16" s="336" t="n"/>
      <c r="AB16" s="336" t="n"/>
      <c r="AC16" s="336" t="n"/>
      <c r="AD16" s="336" t="n"/>
      <c r="AE16" s="336" t="n"/>
      <c r="AF16" s="336" t="n"/>
      <c r="AG16" s="336" t="n"/>
      <c r="AH16" s="336" t="n"/>
      <c r="AI16" s="336" t="n"/>
      <c r="AJ16" s="336" t="n"/>
      <c r="AK16" s="337" t="n"/>
      <c r="AL16" s="338">
        <f>-SUM(BS17,SUM(BR17:BR46),O105,O110)</f>
        <v/>
      </c>
      <c r="AM16" s="338">
        <f>AL16*BF16</f>
        <v/>
      </c>
      <c r="AN16" s="337" t="n"/>
      <c r="AO16" s="339" t="n"/>
      <c r="AP16" s="336" t="n"/>
      <c r="AQ16" s="336" t="n"/>
      <c r="AR16" s="336" t="n"/>
      <c r="AS16" s="336" t="n"/>
      <c r="AT16" s="336" t="n"/>
      <c r="AU16" s="336" t="n"/>
      <c r="AV16" s="336" t="n"/>
      <c r="AW16" s="336" t="n"/>
      <c r="AX16" s="336" t="n"/>
      <c r="AY16" s="336" t="n"/>
      <c r="AZ16" s="336" t="n"/>
      <c r="BA16" s="336" t="n"/>
      <c r="BB16" s="336" t="n"/>
      <c r="BC16" s="336" t="n"/>
      <c r="BD16" s="340" t="n"/>
      <c r="BE16" s="312" t="n"/>
      <c r="BF16" s="341" t="n">
        <v>1</v>
      </c>
      <c r="BH16" s="339" t="n"/>
      <c r="BI16" s="336" t="n"/>
      <c r="BJ16" s="336" t="n"/>
      <c r="BK16" s="336" t="n"/>
      <c r="BL16" s="336" t="n"/>
      <c r="BM16" s="336" t="n"/>
      <c r="BN16" s="336" t="n"/>
      <c r="BO16" s="336" t="n"/>
      <c r="BP16" s="336" t="n"/>
      <c r="BQ16" s="336" t="n"/>
      <c r="BR16" s="336" t="n"/>
      <c r="BS16" s="336" t="n"/>
      <c r="BT16" s="336" t="n"/>
      <c r="BU16" s="336" t="n"/>
      <c r="BV16" s="336" t="n"/>
      <c r="BW16" s="342" t="n"/>
      <c r="BX16" s="343" t="n"/>
      <c r="BY16" s="283" t="n"/>
      <c r="CA16" s="0" t="n"/>
    </row>
    <row r="17" ht="15.75" customHeight="1" s="302">
      <c r="C17" s="0" t="inlineStr">
        <is>
          <t>維持管理・運営期間</t>
        </is>
      </c>
      <c r="D17" s="0" t="inlineStr">
        <is>
          <t>年</t>
        </is>
      </c>
      <c r="F17" s="333" t="n">
        <v>20</v>
      </c>
      <c r="J17" s="114" t="n"/>
      <c r="V17" s="58">
        <f>IF(W17=1,DATE(YEAR($F$18)+(MONTH($F$18)&gt;=4),4,0),EOMONTH(V15,12))</f>
        <v/>
      </c>
      <c r="W17" s="6" t="n">
        <v>1</v>
      </c>
      <c r="X17" s="282">
        <f>IF(W17&gt;$O$16,"-",IF($W17&lt;=$F$16,"整備期間","維持管理・運営期間"))</f>
        <v/>
      </c>
      <c r="Y17" s="344">
        <f>IF($W17=$F$16,$O$61,0)</f>
        <v/>
      </c>
      <c r="Z17" s="345">
        <f>IF($W17=$F$16,$O$63,0)</f>
        <v/>
      </c>
      <c r="AA17" s="345">
        <f>IF($W17=$F$16,$O$62,0)</f>
        <v/>
      </c>
      <c r="AB17" s="345">
        <f>IF(X17="維持管理・運営期間",$F$56,0)</f>
        <v/>
      </c>
      <c r="AC17" s="346">
        <f>SUM(Y17:Z17,AB17)</f>
        <v/>
      </c>
      <c r="AD17" s="344">
        <f>IF($W17=$F$16,$O$30,0)</f>
        <v/>
      </c>
      <c r="AE17" s="345">
        <f>IF($X17="維持管理・運営期間",$O$41,0)</f>
        <v/>
      </c>
      <c r="AF17" s="345">
        <f>IF(AND($W17&gt;0,$W17&lt;=$O$16),$E$45,0)</f>
        <v/>
      </c>
      <c r="AG17" s="345">
        <f>IF(AND(SUM($AA$16:AA16)&gt;0,SUM($AG$16:AG16)&lt;$O$62,$W17&gt;=$O$65),$O$64,0)</f>
        <v/>
      </c>
      <c r="AH17" s="396">
        <f>IF(SUM($AA16:$AA$17)&gt;0,($O$62-SUM($AG16:$AG$17))*$E$65,0)</f>
        <v/>
      </c>
      <c r="AI17" s="346">
        <f>SUM(AD17:AF17)</f>
        <v/>
      </c>
      <c r="AJ17" s="345">
        <f>AC17-AI17</f>
        <v/>
      </c>
      <c r="AK17" s="347" t="n"/>
      <c r="AL17" s="348" t="n"/>
      <c r="AM17" s="346">
        <f>AJ17*$BF17</f>
        <v/>
      </c>
      <c r="AN17" s="349" t="n"/>
      <c r="AO17" s="344">
        <f>IF($W17=$F$16,$P$61,0)</f>
        <v/>
      </c>
      <c r="AP17" s="345">
        <f>IF($W17=$F$16,$P$63,0)</f>
        <v/>
      </c>
      <c r="AQ17" s="345">
        <f>IF($W17=$F$16,$P$62,0)</f>
        <v/>
      </c>
      <c r="AR17" s="345">
        <f>IF($W17&lt;$O$16,IF(W17=$F$16,$U$92,$U$93),0)</f>
        <v/>
      </c>
      <c r="AS17" s="346">
        <f>SUM(AO17:AP17,AR17)</f>
        <v/>
      </c>
      <c r="AT17" s="345">
        <f>IF(W17=$F$16,$P$30,0)</f>
        <v/>
      </c>
      <c r="AU17" s="345">
        <f>IFERROR(-PPMT($P$36,W17-$F$16,$F$17,SUM(P$31,P$51)),0)</f>
        <v/>
      </c>
      <c r="AV17" s="345">
        <f>IFERROR(-IPMT($P$36,W17-$F$16,$F$17,SUM($P$31,$P$51)),0)</f>
        <v/>
      </c>
      <c r="AW17" s="345">
        <f>IF(AND(W17&gt;$F$16,W17&lt;=SUM($F$16:$F$17)),$P$43,0)</f>
        <v/>
      </c>
      <c r="AX17" s="345">
        <f>IF($W17=1,$F$44,0)+IF(AND($W17&gt;0,$W17&lt;=$O$16),$F$45,0)</f>
        <v/>
      </c>
      <c r="AY17" s="345">
        <f>IF(AND(W17&gt;$F$16,W17&lt;=SUM($F$16:$F$17)),$P$54,0)</f>
        <v/>
      </c>
      <c r="AZ17" s="345">
        <f>IF(AND(SUM($AQ$16:AQ16)&gt;0,SUM($AZ$16:AZ16)&lt;$P$62,$W17&gt;=$P$65),$P$64,0)</f>
        <v/>
      </c>
      <c r="BA17" s="345">
        <f>IF(SUM($AQ16:$AQ$17)&gt;0,($P$62-SUM($AZ16:$AZ$17))*$F$65,0)</f>
        <v/>
      </c>
      <c r="BB17" s="346">
        <f>SUM(AT17:AY17)</f>
        <v/>
      </c>
      <c r="BC17" s="345">
        <f>AS17-BB17</f>
        <v/>
      </c>
      <c r="BD17" s="346">
        <f>BC17*$BF17</f>
        <v/>
      </c>
      <c r="BE17" s="393" t="n"/>
      <c r="BF17" s="46">
        <f>1/(1+$O$22)</f>
        <v/>
      </c>
      <c r="BH17" s="350">
        <f>AT17</f>
        <v/>
      </c>
      <c r="BI17" s="350">
        <f>AU17</f>
        <v/>
      </c>
      <c r="BJ17" s="351">
        <f>AV17</f>
        <v/>
      </c>
      <c r="BK17" s="351">
        <f>AW17</f>
        <v/>
      </c>
      <c r="BL17" s="351">
        <f>AY17</f>
        <v/>
      </c>
      <c r="BM17" s="351">
        <f>IF($W17&gt;$F$16,$F$56,0)</f>
        <v/>
      </c>
      <c r="BN17" s="352">
        <f>SUM(BH17:BM17)</f>
        <v/>
      </c>
      <c r="BO17" s="351">
        <f>IF($W17=$F$16,$P$32,0)</f>
        <v/>
      </c>
      <c r="BP17" s="351">
        <f>IF(AND(W17&gt;$F$16,W17&lt;=SUM($F$16:$F$17)),$P$41,0)</f>
        <v/>
      </c>
      <c r="BQ17" s="351">
        <f>IFERROR(-IPMT($P$67,W17-$F$16,$F$17,SUM(P$31,P$51)),0)</f>
        <v/>
      </c>
      <c r="BR17" s="351">
        <f>IF($W17&lt;=$O$16,$F$105,0)</f>
        <v/>
      </c>
      <c r="BS17" s="353">
        <f>IF($W17=1,SUM($O$103,$O$105),0)</f>
        <v/>
      </c>
      <c r="BT17" s="351">
        <f>IF($W17&lt;$O$16,IF(W17=$F$16,$P$93,$P$94),0)</f>
        <v/>
      </c>
      <c r="BU17" s="352">
        <f>SUM(BO17:BP17,BR17:BT17)</f>
        <v/>
      </c>
      <c r="BV17" s="352">
        <f>BN17-BU17</f>
        <v/>
      </c>
      <c r="BW17" s="342" t="n"/>
      <c r="BX17" s="338">
        <f>IFERROR(-PPMT($P$67,$W17-$F$16,$F$17,SUM(P$31,P$51)),0)</f>
        <v/>
      </c>
      <c r="BY17" s="354" t="n"/>
      <c r="CA17" s="0" t="n"/>
    </row>
    <row r="18" ht="15.75" customHeight="1" s="302">
      <c r="C18" s="0" t="inlineStr">
        <is>
          <t>整備期間開始日</t>
        </is>
      </c>
      <c r="F18" s="68" t="n">
        <v>45383</v>
      </c>
      <c r="J18" s="114" t="n"/>
      <c r="V18" s="58">
        <f>IF(W18=1,DATE(YEAR($F$18)+(MONTH($F$18)&gt;=4),4,0),EOMONTH(V17,12))</f>
        <v/>
      </c>
      <c r="W18" s="7" t="n">
        <v>2</v>
      </c>
      <c r="X18" s="282">
        <f>IF(W18&gt;$O$16,"-",IF($W18&lt;=$F$16,"整備期間","維持管理・運営期間"))</f>
        <v/>
      </c>
      <c r="Y18" s="344">
        <f>IF($W18=$F$16,$O$61,0)</f>
        <v/>
      </c>
      <c r="Z18" s="345">
        <f>IF($W18=$F$16,$O$63,0)</f>
        <v/>
      </c>
      <c r="AA18" s="345">
        <f>IF($W18=$F$16,$O$62,0)</f>
        <v/>
      </c>
      <c r="AB18" s="345">
        <f>IF(X18="維持管理・運営期間",$F$56,0)</f>
        <v/>
      </c>
      <c r="AC18" s="346">
        <f>SUM(Y18:Z18,AB18)</f>
        <v/>
      </c>
      <c r="AD18" s="344">
        <f>IF($W18=$F$16,$O$30,0)</f>
        <v/>
      </c>
      <c r="AE18" s="345">
        <f>IF($X18="維持管理・運営期間",$O$41,0)</f>
        <v/>
      </c>
      <c r="AF18" s="345">
        <f>IF(AND($W18&gt;0,$W18&lt;=$O$16),$E$45,0)</f>
        <v/>
      </c>
      <c r="AG18" s="345">
        <f>IF(AND(SUM($AA$16:AA17)&gt;0,SUM($AG$16:AG17)&lt;$O$62,$W18&gt;=$O$65),$O$64,0)</f>
        <v/>
      </c>
      <c r="AH18" s="353">
        <f>IF(SUM($AA17:$AA$17)&gt;0,($O$62-SUM($AG17:$AG$17))*$E$65,0)</f>
        <v/>
      </c>
      <c r="AI18" s="346">
        <f>SUM(AD18:AF18)</f>
        <v/>
      </c>
      <c r="AJ18" s="351">
        <f>AC18-AI18</f>
        <v/>
      </c>
      <c r="AK18" s="347" t="n"/>
      <c r="AL18" s="348" t="n"/>
      <c r="AM18" s="352">
        <f>AJ18*$BF18</f>
        <v/>
      </c>
      <c r="AN18" s="349" t="n"/>
      <c r="AO18" s="350">
        <f>IF($W18=$F$16,$P$61,0)</f>
        <v/>
      </c>
      <c r="AP18" s="351">
        <f>IF($W18=$F$16,$P$63,0)</f>
        <v/>
      </c>
      <c r="AQ18" s="351">
        <f>IF($W18=$F$16,$P$62,0)</f>
        <v/>
      </c>
      <c r="AR18" s="345">
        <f>IF($W18&lt;$O$16,IF(W18=$F$16,$U$92,$U$93),0)</f>
        <v/>
      </c>
      <c r="AS18" s="346">
        <f>SUM(AO18:AP18,AR18)</f>
        <v/>
      </c>
      <c r="AT18" s="345">
        <f>IF(W18=$F$16,$P$30,0)</f>
        <v/>
      </c>
      <c r="AU18" s="345">
        <f>IFERROR(-PPMT($P$36,W18-$F$16,$F$17,SUM(P$31,P$51)),0)</f>
        <v/>
      </c>
      <c r="AV18" s="345">
        <f>IFERROR(-IPMT($P$36,W18-$F$16,$F$17,SUM($P$31,$P$51)),0)</f>
        <v/>
      </c>
      <c r="AW18" s="345">
        <f>IF(AND(W18&gt;$F$16,W18&lt;=SUM($F$16:$F$17)),$P$43,0)</f>
        <v/>
      </c>
      <c r="AX18" s="345">
        <f>IF($W18=1,$F$44,0)+IF(AND($W18&gt;0,$W18&lt;=$O$16),$F$45,0)</f>
        <v/>
      </c>
      <c r="AY18" s="345">
        <f>IF(AND(W18&gt;$F$16,W18&lt;=SUM($F$16:$F$17)),$P$54,0)</f>
        <v/>
      </c>
      <c r="AZ18" s="345">
        <f>IF(AND(SUM($AQ$16:AQ17)&gt;0,SUM($AZ$16:AZ17)&lt;$P$62,$W18&gt;=$P$65),$P$64,0)</f>
        <v/>
      </c>
      <c r="BA18" s="345">
        <f>IF(SUM($AQ17:$AQ$17)&gt;0,($P$62-SUM($AZ17:$AZ$17))*$F$65,0)</f>
        <v/>
      </c>
      <c r="BB18" s="346">
        <f>SUM(AT18:AY18)</f>
        <v/>
      </c>
      <c r="BC18" s="351">
        <f>AS18-BB18</f>
        <v/>
      </c>
      <c r="BD18" s="352">
        <f>BC18*$BF18</f>
        <v/>
      </c>
      <c r="BE18" s="393" t="n"/>
      <c r="BF18" s="46">
        <f>BF17/(1+$O$22)</f>
        <v/>
      </c>
      <c r="BH18" s="350">
        <f>AT18</f>
        <v/>
      </c>
      <c r="BI18" s="350">
        <f>AU18</f>
        <v/>
      </c>
      <c r="BJ18" s="351">
        <f>AV18</f>
        <v/>
      </c>
      <c r="BK18" s="351">
        <f>AW18</f>
        <v/>
      </c>
      <c r="BL18" s="351">
        <f>AY18</f>
        <v/>
      </c>
      <c r="BM18" s="351">
        <f>IF($W18&gt;$F$16,$F$56,0)</f>
        <v/>
      </c>
      <c r="BN18" s="352">
        <f>SUM(BH18:BM18)</f>
        <v/>
      </c>
      <c r="BO18" s="351">
        <f>IF($W18=$F$16,$P$32,0)</f>
        <v/>
      </c>
      <c r="BP18" s="351">
        <f>IF(AND(W18&gt;$F$16,W18&lt;=SUM($F$16:$F$17)),$P$41,0)</f>
        <v/>
      </c>
      <c r="BQ18" s="351">
        <f>IFERROR(-IPMT($P$67,W18-$F$16,$F$17,SUM(P$31,P$51)),0)</f>
        <v/>
      </c>
      <c r="BR18" s="351">
        <f>IF($W18&lt;=$O$16,$F$105,0)</f>
        <v/>
      </c>
      <c r="BS18" s="353">
        <f>IF($W18=1,SUM($O$103,$O$105),0)</f>
        <v/>
      </c>
      <c r="BT18" s="351">
        <f>IF($W18&lt;$O$16,IF(W18=$F$16,$P$93,$P$94),0)</f>
        <v/>
      </c>
      <c r="BU18" s="352">
        <f>SUM(BO18:BP18,BR18:BT18)</f>
        <v/>
      </c>
      <c r="BV18" s="352">
        <f>BN18-BU18</f>
        <v/>
      </c>
      <c r="BW18" s="342" t="n"/>
      <c r="BX18" s="338">
        <f>IFERROR(-PPMT($P$67,$W18-$F$16,$F$17,SUM(P$31,P$51)),0)</f>
        <v/>
      </c>
      <c r="BY18" s="355" t="n"/>
      <c r="CA18" s="0" t="n"/>
    </row>
    <row r="19" ht="15.75" customHeight="1" s="302">
      <c r="C19" s="0" t="inlineStr">
        <is>
          <t>整備期間終了日</t>
        </is>
      </c>
      <c r="F19" s="137">
        <f>EOMONTH(F18,12*F16-1)</f>
        <v/>
      </c>
      <c r="J19" s="114" t="n"/>
      <c r="V19" s="58">
        <f>IF(W19=1,DATE(YEAR($F$18)+(MONTH($F$18)&gt;=4),4,0),EOMONTH(V18,12))</f>
        <v/>
      </c>
      <c r="W19" s="7" t="n">
        <v>3</v>
      </c>
      <c r="X19" s="282">
        <f>IF(W19&gt;$O$16,"-",IF($W19&lt;=$F$16,"整備期間","維持管理・運営期間"))</f>
        <v/>
      </c>
      <c r="Y19" s="344">
        <f>IF($W19=$F$16,$O$61,0)</f>
        <v/>
      </c>
      <c r="Z19" s="345">
        <f>IF($W19=$F$16,$O$63,0)</f>
        <v/>
      </c>
      <c r="AA19" s="345">
        <f>IF($W19=$F$16,$O$62,0)</f>
        <v/>
      </c>
      <c r="AB19" s="345">
        <f>IF(X19="維持管理・運営期間",$F$56,0)</f>
        <v/>
      </c>
      <c r="AC19" s="346">
        <f>SUM(Y19:Z19,AB19)</f>
        <v/>
      </c>
      <c r="AD19" s="344">
        <f>IF($W19=$F$16,$O$30,0)</f>
        <v/>
      </c>
      <c r="AE19" s="345">
        <f>IF($X19="維持管理・運営期間",$O$41,0)</f>
        <v/>
      </c>
      <c r="AF19" s="345">
        <f>IF(AND($W19&gt;0,$W19&lt;=$O$16),$E$45,0)</f>
        <v/>
      </c>
      <c r="AG19" s="345">
        <f>IF(AND(SUM($AA$16:AA18)&gt;0,SUM($AG$16:AG18)&lt;$O$62,$W19&gt;=$O$65),$O$64,0)</f>
        <v/>
      </c>
      <c r="AH19" s="353">
        <f>IF(SUM($AA$17:$AA18)&gt;0,($O$62-SUM($AG$17:$AG18))*$E$65,0)</f>
        <v/>
      </c>
      <c r="AI19" s="346">
        <f>SUM(AD19:AF19)</f>
        <v/>
      </c>
      <c r="AJ19" s="351">
        <f>AC19-AI19</f>
        <v/>
      </c>
      <c r="AK19" s="347" t="n"/>
      <c r="AL19" s="348" t="n"/>
      <c r="AM19" s="352">
        <f>AJ19*$BF19</f>
        <v/>
      </c>
      <c r="AN19" s="349" t="n"/>
      <c r="AO19" s="350">
        <f>IF($W19=$F$16,$P$61,0)</f>
        <v/>
      </c>
      <c r="AP19" s="351">
        <f>IF($W19=$F$16,$P$63,0)</f>
        <v/>
      </c>
      <c r="AQ19" s="351">
        <f>IF($W19=$F$16,$P$62,0)</f>
        <v/>
      </c>
      <c r="AR19" s="345">
        <f>IF($W19&lt;$O$16,IF(W19=$F$16,$U$92,$U$93),0)</f>
        <v/>
      </c>
      <c r="AS19" s="346">
        <f>SUM(AO19:AP19,AR19)</f>
        <v/>
      </c>
      <c r="AT19" s="345">
        <f>IF(W19=$F$16,$P$30,0)</f>
        <v/>
      </c>
      <c r="AU19" s="345">
        <f>IFERROR(-PPMT($P$36,W19-$F$16,$F$17,SUM(P$31,P$51)),0)</f>
        <v/>
      </c>
      <c r="AV19" s="345">
        <f>IFERROR(-IPMT($P$36,W19-$F$16,$F$17,SUM($P$31,$P$51)),0)</f>
        <v/>
      </c>
      <c r="AW19" s="345">
        <f>IF(AND(W19&gt;$F$16,W19&lt;=SUM($F$16:$F$17)),$P$43,0)</f>
        <v/>
      </c>
      <c r="AX19" s="345">
        <f>IF($W19=1,$F$44,0)+IF(AND($W19&gt;0,$W19&lt;=$O$16),$F$45,0)</f>
        <v/>
      </c>
      <c r="AY19" s="345">
        <f>IF(AND(W19&gt;$F$16,W19&lt;=SUM($F$16:$F$17)),$P$54,0)</f>
        <v/>
      </c>
      <c r="AZ19" s="345">
        <f>IF(AND(SUM($AQ$16:AQ18)&gt;0,SUM($AZ$16:AZ18)&lt;$P$62,$W19&gt;=$P$65),$P$64,0)</f>
        <v/>
      </c>
      <c r="BA19" s="345">
        <f>IF(SUM($AQ$17:$AQ18)&gt;0,($P$62-SUM($AZ$17:$AZ18))*$F$65,0)</f>
        <v/>
      </c>
      <c r="BB19" s="346">
        <f>SUM(AT19:AY19)</f>
        <v/>
      </c>
      <c r="BC19" s="351">
        <f>AS19-BB19</f>
        <v/>
      </c>
      <c r="BD19" s="352">
        <f>BC19*$BF19</f>
        <v/>
      </c>
      <c r="BE19" s="393" t="n"/>
      <c r="BF19" s="46">
        <f>BF18/(1+$O$22)</f>
        <v/>
      </c>
      <c r="BH19" s="350">
        <f>AT19</f>
        <v/>
      </c>
      <c r="BI19" s="350">
        <f>AU19</f>
        <v/>
      </c>
      <c r="BJ19" s="351">
        <f>AV19</f>
        <v/>
      </c>
      <c r="BK19" s="351">
        <f>AW19</f>
        <v/>
      </c>
      <c r="BL19" s="351">
        <f>AY19</f>
        <v/>
      </c>
      <c r="BM19" s="351">
        <f>IF($W19&gt;$F$16,$F$56,0)</f>
        <v/>
      </c>
      <c r="BN19" s="352">
        <f>SUM(BH19:BM19)</f>
        <v/>
      </c>
      <c r="BO19" s="351">
        <f>IF($W19=$F$16,$P$32,0)</f>
        <v/>
      </c>
      <c r="BP19" s="351">
        <f>IF(AND(W19&gt;$F$16,W19&lt;=SUM($F$16:$F$17)),$P$41,0)</f>
        <v/>
      </c>
      <c r="BQ19" s="351">
        <f>IFERROR(-IPMT($P$67,W19-$F$16,$F$17,SUM(P$31,P$51)),0)</f>
        <v/>
      </c>
      <c r="BR19" s="351">
        <f>IF($W19&lt;=$O$16,$F$105,0)</f>
        <v/>
      </c>
      <c r="BS19" s="353">
        <f>IF($W19=1,SUM($O$103,$O$105),0)</f>
        <v/>
      </c>
      <c r="BT19" s="351">
        <f>IF($W19&lt;$O$16,IF(W19=$F$16,$P$93,$P$94),0)</f>
        <v/>
      </c>
      <c r="BU19" s="352">
        <f>SUM(BO19:BP19,BR19:BT19)</f>
        <v/>
      </c>
      <c r="BV19" s="352">
        <f>BN19-BU19</f>
        <v/>
      </c>
      <c r="BW19" s="342" t="n"/>
      <c r="BX19" s="338">
        <f>IFERROR(-PPMT($P$67,$W19-$F$16,$F$17,SUM(P$31,P$51)),0)</f>
        <v/>
      </c>
      <c r="BY19" s="355" t="n"/>
      <c r="CA19" s="0" t="n"/>
    </row>
    <row r="20" ht="15.75" customHeight="1" s="302">
      <c r="C20" s="0" t="inlineStr">
        <is>
          <t>維持管理運営期間開始日</t>
        </is>
      </c>
      <c r="F20" s="137">
        <f>F19+1</f>
        <v/>
      </c>
      <c r="V20" s="58">
        <f>IF(W20=1,DATE(YEAR($F$18)+(MONTH($F$18)&gt;=4),4,0),EOMONTH(V19,12))</f>
        <v/>
      </c>
      <c r="W20" s="7" t="n">
        <v>4</v>
      </c>
      <c r="X20" s="282">
        <f>IF(W20&gt;$O$16,"-",IF($W20&lt;=$F$16,"整備期間","維持管理・運営期間"))</f>
        <v/>
      </c>
      <c r="Y20" s="344">
        <f>IF($W20=$F$16,$O$61,0)</f>
        <v/>
      </c>
      <c r="Z20" s="345">
        <f>IF($W20=$F$16,$O$63,0)</f>
        <v/>
      </c>
      <c r="AA20" s="345">
        <f>IF($W20=$F$16,$O$62,0)</f>
        <v/>
      </c>
      <c r="AB20" s="345">
        <f>IF(X20="維持管理・運営期間",$F$56,0)</f>
        <v/>
      </c>
      <c r="AC20" s="346">
        <f>SUM(Y20:Z20,AB20)</f>
        <v/>
      </c>
      <c r="AD20" s="344">
        <f>IF($W20=$F$16,$O$30,0)</f>
        <v/>
      </c>
      <c r="AE20" s="345">
        <f>IF($X20="維持管理・運営期間",$O$41,0)</f>
        <v/>
      </c>
      <c r="AF20" s="345">
        <f>IF(AND($W20&gt;0,$W20&lt;=$O$16),$E$45,0)</f>
        <v/>
      </c>
      <c r="AG20" s="345">
        <f>IF(AND(SUM($AA$16:AA19)&gt;0,SUM($AG$16:AG19)&lt;$O$62,$W20&gt;=$O$65),$O$64,0)</f>
        <v/>
      </c>
      <c r="AH20" s="353">
        <f>IF(SUM($AA$17:$AA19)&gt;0,($O$62-SUM($AG$17:$AG19))*$E$65,0)</f>
        <v/>
      </c>
      <c r="AI20" s="346">
        <f>SUM(AD20:AF20)</f>
        <v/>
      </c>
      <c r="AJ20" s="351">
        <f>AC20-AI20</f>
        <v/>
      </c>
      <c r="AK20" s="338">
        <f>(SUM($P$31,$P$51)-SUM($AU$17:AU19))*$O$109</f>
        <v/>
      </c>
      <c r="AL20" s="348" t="n"/>
      <c r="AM20" s="352">
        <f>AJ20*$BF20</f>
        <v/>
      </c>
      <c r="AN20" s="349" t="n"/>
      <c r="AO20" s="350">
        <f>IF($W20=$F$16,$P$61,0)</f>
        <v/>
      </c>
      <c r="AP20" s="351">
        <f>IF($W20=$F$16,$P$63,0)</f>
        <v/>
      </c>
      <c r="AQ20" s="351">
        <f>IF($W20=$F$16,$P$62,0)</f>
        <v/>
      </c>
      <c r="AR20" s="345">
        <f>IF($W20&lt;$O$16,IF(W20=$F$16,$U$92,$U$93),0)</f>
        <v/>
      </c>
      <c r="AS20" s="346">
        <f>SUM(AO20:AP20,AR20)</f>
        <v/>
      </c>
      <c r="AT20" s="345">
        <f>IF(W20=$F$16,$P$30,0)</f>
        <v/>
      </c>
      <c r="AU20" s="345">
        <f>IFERROR(-PPMT($P$36,W20-$F$16,$F$17,SUM(P$31,P$51)),0)</f>
        <v/>
      </c>
      <c r="AV20" s="345">
        <f>IFERROR(-IPMT($P$36,W20-$F$16,$F$17,SUM($P$31,$P$51)),0)</f>
        <v/>
      </c>
      <c r="AW20" s="345">
        <f>IF(AND(W20&gt;$F$16,W20&lt;=SUM($F$16:$F$17)),$P$43,0)</f>
        <v/>
      </c>
      <c r="AX20" s="345">
        <f>IF($W20=1,$F$44,0)+IF(AND($W20&gt;0,$W20&lt;=$O$16),$F$45,0)</f>
        <v/>
      </c>
      <c r="AY20" s="345">
        <f>IF(AND(W20&gt;$F$16,W20&lt;=SUM($F$16:$F$17)),$P$54,0)</f>
        <v/>
      </c>
      <c r="AZ20" s="345">
        <f>IF(AND(SUM($AQ$16:AQ19)&gt;0,SUM($AZ$16:AZ19)&lt;$P$62,$W20&gt;=$P$65),$P$64,0)</f>
        <v/>
      </c>
      <c r="BA20" s="345">
        <f>IF(SUM($AQ$17:$AQ19)&gt;0,($P$62-SUM($AZ$17:$AZ19))*$F$65,0)</f>
        <v/>
      </c>
      <c r="BB20" s="346">
        <f>SUM(AT20:AY20)</f>
        <v/>
      </c>
      <c r="BC20" s="351">
        <f>AS20-BB20</f>
        <v/>
      </c>
      <c r="BD20" s="352">
        <f>BC20*$BF20</f>
        <v/>
      </c>
      <c r="BE20" s="393" t="n"/>
      <c r="BF20" s="46">
        <f>BF19/(1+$O$22)</f>
        <v/>
      </c>
      <c r="BH20" s="350">
        <f>AT20</f>
        <v/>
      </c>
      <c r="BI20" s="350">
        <f>AU20</f>
        <v/>
      </c>
      <c r="BJ20" s="351">
        <f>AV20</f>
        <v/>
      </c>
      <c r="BK20" s="351">
        <f>AW20</f>
        <v/>
      </c>
      <c r="BL20" s="351">
        <f>AY20</f>
        <v/>
      </c>
      <c r="BM20" s="351">
        <f>IF($W20&gt;$F$16,$F$56,0)</f>
        <v/>
      </c>
      <c r="BN20" s="352">
        <f>SUM(BH20:BM20)</f>
        <v/>
      </c>
      <c r="BO20" s="351">
        <f>IF($W20=$F$16,$P$32,0)</f>
        <v/>
      </c>
      <c r="BP20" s="351">
        <f>IF(AND(W20&gt;$F$16,W20&lt;=SUM($F$16:$F$17)),$P$41,0)</f>
        <v/>
      </c>
      <c r="BQ20" s="351">
        <f>IFERROR(-IPMT($P$67,W20-$F$16,$F$17,SUM(P$31,P$51)),0)</f>
        <v/>
      </c>
      <c r="BR20" s="351">
        <f>IF($W20&lt;=$O$16,$F$105,0)</f>
        <v/>
      </c>
      <c r="BS20" s="353">
        <f>IF($W20=1,SUM($O$103,$O$105),0)</f>
        <v/>
      </c>
      <c r="BT20" s="351">
        <f>IF($W20&lt;$O$16,IF(W20=$F$16,$P$93,$P$94),0)</f>
        <v/>
      </c>
      <c r="BU20" s="352">
        <f>SUM(BO20:BP20,BR20:BT20)</f>
        <v/>
      </c>
      <c r="BV20" s="352">
        <f>BN20-BU20</f>
        <v/>
      </c>
      <c r="BW20" s="342" t="n"/>
      <c r="BX20" s="338">
        <f>IFERROR(-PPMT($P$67,$W20-$F$16,$F$17,SUM(P$31,P$51)),0)</f>
        <v/>
      </c>
      <c r="BY20" s="356">
        <f>IF(BV20-BX20&gt;=0,0,1)</f>
        <v/>
      </c>
      <c r="CA20" s="0" t="n"/>
    </row>
    <row r="21" ht="15.75" customHeight="1" s="302">
      <c r="C21" s="0" t="inlineStr">
        <is>
          <t>維持管理運営期間終了日</t>
        </is>
      </c>
      <c r="F21" s="137">
        <f>EOMONTH(F20,12*F17-1)</f>
        <v/>
      </c>
      <c r="V21" s="58">
        <f>IF(W21=1,DATE(YEAR($F$18)+(MONTH($F$18)&gt;=4),4,0),EOMONTH(V20,12))</f>
        <v/>
      </c>
      <c r="W21" s="7" t="n">
        <v>5</v>
      </c>
      <c r="X21" s="282">
        <f>IF(W21&gt;$O$16,"-",IF($W21&lt;=$F$16,"整備期間","維持管理・運営期間"))</f>
        <v/>
      </c>
      <c r="Y21" s="344">
        <f>IF($W21=$F$16,$O$61,0)</f>
        <v/>
      </c>
      <c r="Z21" s="345">
        <f>IF($W21=$F$16,$O$63,0)</f>
        <v/>
      </c>
      <c r="AA21" s="345">
        <f>IF($W21=$F$16,$O$62,0)</f>
        <v/>
      </c>
      <c r="AB21" s="345">
        <f>IF(X21="維持管理・運営期間",$F$56,0)</f>
        <v/>
      </c>
      <c r="AC21" s="346">
        <f>SUM(Y21:Z21,AB21)</f>
        <v/>
      </c>
      <c r="AD21" s="344">
        <f>IF($W21=$F$16,$O$30,0)</f>
        <v/>
      </c>
      <c r="AE21" s="345">
        <f>IF($X21="維持管理・運営期間",$O$41,0)</f>
        <v/>
      </c>
      <c r="AF21" s="345">
        <f>IF(AND($W21&gt;0,$W21&lt;=$O$16),$E$45,0)</f>
        <v/>
      </c>
      <c r="AG21" s="345">
        <f>IF(AND(SUM($AA$16:AA20)&gt;0,SUM($AG$16:AG20)&lt;$O$62,$W21&gt;=$O$65),$O$64,0)</f>
        <v/>
      </c>
      <c r="AH21" s="353">
        <f>IF(SUM($AA$17:$AA20)&gt;0,($O$62-SUM($AG$17:$AG20))*$E$65,0)</f>
        <v/>
      </c>
      <c r="AI21" s="346">
        <f>SUM(AD21:AF21)</f>
        <v/>
      </c>
      <c r="AJ21" s="351">
        <f>AC21-AI21</f>
        <v/>
      </c>
      <c r="AK21" s="338">
        <f>(SUM($P$31,$P$51)-SUM($AU$17:AU20))*$O$109</f>
        <v/>
      </c>
      <c r="AL21" s="348" t="n"/>
      <c r="AM21" s="352">
        <f>AJ21*$BF21</f>
        <v/>
      </c>
      <c r="AN21" s="349" t="n"/>
      <c r="AO21" s="350">
        <f>IF($W21=$F$16,$P$61,0)</f>
        <v/>
      </c>
      <c r="AP21" s="351">
        <f>IF($W21=$F$16,$P$63,0)</f>
        <v/>
      </c>
      <c r="AQ21" s="351">
        <f>IF($W21=$F$16,$P$62,0)</f>
        <v/>
      </c>
      <c r="AR21" s="345">
        <f>IF($W21&lt;$O$16,IF(W21=$F$16,$U$92,$U$93),0)</f>
        <v/>
      </c>
      <c r="AS21" s="346">
        <f>SUM(AO21:AP21,AR21)</f>
        <v/>
      </c>
      <c r="AT21" s="345">
        <f>IF(W21=$F$16,$P$30,0)</f>
        <v/>
      </c>
      <c r="AU21" s="345">
        <f>IFERROR(-PPMT($P$36,W21-$F$16,$F$17,SUM(P$31,P$51)),0)</f>
        <v/>
      </c>
      <c r="AV21" s="345">
        <f>IFERROR(-IPMT($P$36,W21-$F$16,$F$17,SUM($P$31,$P$51)),0)</f>
        <v/>
      </c>
      <c r="AW21" s="345">
        <f>IF(AND(W21&gt;$F$16,W21&lt;=SUM($F$16:$F$17)),$P$43,0)</f>
        <v/>
      </c>
      <c r="AX21" s="345">
        <f>IF($W21=1,$F$44,0)+IF(AND($W21&gt;0,$W21&lt;=$O$16),$F$45,0)</f>
        <v/>
      </c>
      <c r="AY21" s="345">
        <f>IF(AND(W21&gt;$F$16,W21&lt;=SUM($F$16:$F$17)),$P$54,0)</f>
        <v/>
      </c>
      <c r="AZ21" s="345">
        <f>IF(AND(SUM($AQ$16:AQ20)&gt;0,SUM($AZ$16:AZ20)&lt;$P$62,$W21&gt;=$P$65),$P$64,0)</f>
        <v/>
      </c>
      <c r="BA21" s="345">
        <f>IF(SUM($AQ$17:$AQ20)&gt;0,($P$62-SUM($AZ$17:$AZ20))*$F$65,0)</f>
        <v/>
      </c>
      <c r="BB21" s="346">
        <f>SUM(AT21:AY21)</f>
        <v/>
      </c>
      <c r="BC21" s="351">
        <f>AS21-BB21</f>
        <v/>
      </c>
      <c r="BD21" s="352">
        <f>BC21*$BF21</f>
        <v/>
      </c>
      <c r="BE21" s="393" t="n"/>
      <c r="BF21" s="46">
        <f>BF20/(1+$O$22)</f>
        <v/>
      </c>
      <c r="BH21" s="350">
        <f>AT21</f>
        <v/>
      </c>
      <c r="BI21" s="350">
        <f>AU21</f>
        <v/>
      </c>
      <c r="BJ21" s="351">
        <f>AV21</f>
        <v/>
      </c>
      <c r="BK21" s="351">
        <f>AW21</f>
        <v/>
      </c>
      <c r="BL21" s="351">
        <f>AY21</f>
        <v/>
      </c>
      <c r="BM21" s="351">
        <f>IF($W21&gt;$F$16,$F$56,0)</f>
        <v/>
      </c>
      <c r="BN21" s="352">
        <f>SUM(BH21:BM21)</f>
        <v/>
      </c>
      <c r="BO21" s="351">
        <f>IF($W21=$F$16,$P$32,0)</f>
        <v/>
      </c>
      <c r="BP21" s="351">
        <f>IF(AND(W21&gt;$F$16,W21&lt;=SUM($F$16:$F$17)),$P$41,0)</f>
        <v/>
      </c>
      <c r="BQ21" s="351">
        <f>IFERROR(-IPMT($P$67,W21-$F$16,$F$17,SUM(P$31,P$51)),0)</f>
        <v/>
      </c>
      <c r="BR21" s="351">
        <f>IF($W21&lt;=$O$16,$F$105,0)</f>
        <v/>
      </c>
      <c r="BS21" s="353">
        <f>IF($W21=1,SUM($O$103,$O$105),0)</f>
        <v/>
      </c>
      <c r="BT21" s="351">
        <f>IF($W21&lt;$O$16,IF(W21=$F$16,$P$93,$P$94),0)</f>
        <v/>
      </c>
      <c r="BU21" s="352">
        <f>SUM(BO21:BP21,BR21:BT21)</f>
        <v/>
      </c>
      <c r="BV21" s="352">
        <f>BN21-BU21</f>
        <v/>
      </c>
      <c r="BW21" s="342" t="n"/>
      <c r="BX21" s="338">
        <f>IFERROR(-PPMT($P$67,$W21-$F$16,$F$17,SUM(P$31,P$51)),0)</f>
        <v/>
      </c>
      <c r="BY21" s="356">
        <f>IF(BV21-BX21&gt;=0,0,1)</f>
        <v/>
      </c>
      <c r="CA21" s="0" t="n"/>
    </row>
    <row r="22" ht="15.75" customHeight="1" s="302">
      <c r="B22" s="56" t="inlineStr">
        <is>
          <t>1.4割引率</t>
        </is>
      </c>
      <c r="C22" s="19" t="n"/>
      <c r="I22" s="72" t="n"/>
      <c r="J22" s="4" t="inlineStr">
        <is>
          <t>1.4割引率</t>
        </is>
      </c>
      <c r="N22" s="19" t="inlineStr">
        <is>
          <t>％</t>
        </is>
      </c>
      <c r="O22" s="36">
        <f>SUM(F23:F24)</f>
        <v/>
      </c>
      <c r="V22" s="58">
        <f>IF(W22=1,DATE(YEAR($F$18)+(MONTH($F$18)&gt;=4),4,0),EOMONTH(V21,12))</f>
        <v/>
      </c>
      <c r="W22" s="7" t="n">
        <v>6</v>
      </c>
      <c r="X22" s="282">
        <f>IF(W22&gt;$O$16,"-",IF($W22&lt;=$F$16,"整備期間","維持管理・運営期間"))</f>
        <v/>
      </c>
      <c r="Y22" s="344">
        <f>IF($W22=$F$16,$O$61,0)</f>
        <v/>
      </c>
      <c r="Z22" s="345">
        <f>IF($W22=$F$16,$O$63,0)</f>
        <v/>
      </c>
      <c r="AA22" s="345">
        <f>IF($W22=$F$16,$O$62,0)</f>
        <v/>
      </c>
      <c r="AB22" s="345">
        <f>IF(X22="維持管理・運営期間",$F$56,0)</f>
        <v/>
      </c>
      <c r="AC22" s="346">
        <f>SUM(Y22:Z22,AB22)</f>
        <v/>
      </c>
      <c r="AD22" s="344">
        <f>IF($W22=$F$16,$O$30,0)</f>
        <v/>
      </c>
      <c r="AE22" s="345">
        <f>IF($X22="維持管理・運営期間",$O$41,0)</f>
        <v/>
      </c>
      <c r="AF22" s="345">
        <f>IF(AND($W22&gt;0,$W22&lt;=$O$16),$E$45,0)</f>
        <v/>
      </c>
      <c r="AG22" s="345">
        <f>IF(AND(SUM($AA$16:AA21)&gt;0,SUM($AG$16:AG21)&lt;$O$62,$W22&gt;=$O$65),$O$64,0)</f>
        <v/>
      </c>
      <c r="AH22" s="353">
        <f>IF(SUM($AA$17:$AA21)&gt;0,($O$62-SUM($AG$17:$AG21))*$E$65,0)</f>
        <v/>
      </c>
      <c r="AI22" s="346">
        <f>SUM(AD22:AF22)</f>
        <v/>
      </c>
      <c r="AJ22" s="351">
        <f>AC22-AI22</f>
        <v/>
      </c>
      <c r="AK22" s="338">
        <f>(SUM($P$31,$P$51)-SUM($AU$17:AU21))*$O$109</f>
        <v/>
      </c>
      <c r="AL22" s="348" t="n"/>
      <c r="AM22" s="352">
        <f>AJ22*$BF22</f>
        <v/>
      </c>
      <c r="AN22" s="349" t="n"/>
      <c r="AO22" s="350">
        <f>IF($W22=$F$16,$P$61,0)</f>
        <v/>
      </c>
      <c r="AP22" s="351">
        <f>IF($W22=$F$16,$P$63,0)</f>
        <v/>
      </c>
      <c r="AQ22" s="351">
        <f>IF($W22=$F$16,$P$62,0)</f>
        <v/>
      </c>
      <c r="AR22" s="345">
        <f>IF($W22&lt;$O$16,IF(W22=$F$16,$U$92,$U$93),0)</f>
        <v/>
      </c>
      <c r="AS22" s="346">
        <f>SUM(AO22:AP22,AR22)</f>
        <v/>
      </c>
      <c r="AT22" s="345">
        <f>IF(W22=$F$16,$P$30,0)</f>
        <v/>
      </c>
      <c r="AU22" s="345">
        <f>IFERROR(-PPMT($P$36,W22-$F$16,$F$17,SUM(P$31,P$51)),0)</f>
        <v/>
      </c>
      <c r="AV22" s="345">
        <f>IFERROR(-IPMT($P$36,W22-$F$16,$F$17,SUM($P$31,$P$51)),0)</f>
        <v/>
      </c>
      <c r="AW22" s="345">
        <f>IF(AND(W22&gt;$F$16,W22&lt;=SUM($F$16:$F$17)),$P$43,0)</f>
        <v/>
      </c>
      <c r="AX22" s="345">
        <f>IF($W22=1,$F$44,0)+IF(AND($W22&gt;0,$W22&lt;=$O$16),$F$45,0)</f>
        <v/>
      </c>
      <c r="AY22" s="345">
        <f>IF(AND(W22&gt;$F$16,W22&lt;=SUM($F$16:$F$17)),$P$54,0)</f>
        <v/>
      </c>
      <c r="AZ22" s="345">
        <f>IF(AND(SUM($AQ$16:AQ21)&gt;0,SUM($AZ$16:AZ21)&lt;$P$62,$W22&gt;=$P$65),$P$64,0)</f>
        <v/>
      </c>
      <c r="BA22" s="345">
        <f>IF(SUM($AQ$17:$AQ21)&gt;0,($P$62-SUM($AZ$17:$AZ21))*$F$65,0)</f>
        <v/>
      </c>
      <c r="BB22" s="346">
        <f>SUM(AT22:AY22)</f>
        <v/>
      </c>
      <c r="BC22" s="351">
        <f>AS22-BB22</f>
        <v/>
      </c>
      <c r="BD22" s="352">
        <f>BC22*$BF22</f>
        <v/>
      </c>
      <c r="BE22" s="393" t="n"/>
      <c r="BF22" s="46">
        <f>BF21/(1+$O$22)</f>
        <v/>
      </c>
      <c r="BH22" s="350">
        <f>AT22</f>
        <v/>
      </c>
      <c r="BI22" s="350">
        <f>AU22</f>
        <v/>
      </c>
      <c r="BJ22" s="351">
        <f>AV22</f>
        <v/>
      </c>
      <c r="BK22" s="351">
        <f>AW22</f>
        <v/>
      </c>
      <c r="BL22" s="351">
        <f>AY22</f>
        <v/>
      </c>
      <c r="BM22" s="351">
        <f>IF($W22&gt;$F$16,$F$56,0)</f>
        <v/>
      </c>
      <c r="BN22" s="352">
        <f>SUM(BH22:BM22)</f>
        <v/>
      </c>
      <c r="BO22" s="351">
        <f>IF($W22=$F$16,$P$32,0)</f>
        <v/>
      </c>
      <c r="BP22" s="351">
        <f>IF(AND(W22&gt;$F$16,W22&lt;=SUM($F$16:$F$17)),$P$41,0)</f>
        <v/>
      </c>
      <c r="BQ22" s="351">
        <f>IFERROR(-IPMT($P$67,W22-$F$16,$F$17,SUM(P$31,P$51)),0)</f>
        <v/>
      </c>
      <c r="BR22" s="351">
        <f>IF($W22&lt;=$O$16,$F$105,0)</f>
        <v/>
      </c>
      <c r="BS22" s="353">
        <f>IF($W22=1,SUM($O$103,$O$105),0)</f>
        <v/>
      </c>
      <c r="BT22" s="351">
        <f>IF($W22&lt;$O$16,IF(W22=$F$16,$P$93,$P$94),0)</f>
        <v/>
      </c>
      <c r="BU22" s="352">
        <f>SUM(BO22:BP22,BR22:BT22)</f>
        <v/>
      </c>
      <c r="BV22" s="352">
        <f>BN22-BU22</f>
        <v/>
      </c>
      <c r="BW22" s="342" t="n"/>
      <c r="BX22" s="338">
        <f>IFERROR(-PPMT($P$67,$W22-$F$16,$F$17,SUM(P$31,P$51)),0)</f>
        <v/>
      </c>
      <c r="BY22" s="356">
        <f>IF(BV22-BX22&gt;=0,0,1)</f>
        <v/>
      </c>
      <c r="CA22" s="0" t="n"/>
    </row>
    <row r="23" ht="15.75" customHeight="1" s="302">
      <c r="C23" s="0" t="inlineStr">
        <is>
          <t>リスクフリーレート</t>
        </is>
      </c>
      <c r="F23" s="15" t="n">
        <v>0.0145</v>
      </c>
      <c r="H23" s="0" t="inlineStr">
        <is>
          <t>20年国債利回り</t>
        </is>
      </c>
      <c r="V23" s="58">
        <f>IF(W23=1,DATE(YEAR($F$18)+(MONTH($F$18)&gt;=4),4,0),EOMONTH(V22,12))</f>
        <v/>
      </c>
      <c r="W23" s="7" t="n">
        <v>7</v>
      </c>
      <c r="X23" s="282">
        <f>IF(W23&gt;$O$16,"-",IF($W23&lt;=$F$16,"整備期間","維持管理・運営期間"))</f>
        <v/>
      </c>
      <c r="Y23" s="344">
        <f>IF($W23=$F$16,$O$61,0)</f>
        <v/>
      </c>
      <c r="Z23" s="345">
        <f>IF($W23=$F$16,$O$63,0)</f>
        <v/>
      </c>
      <c r="AA23" s="345">
        <f>IF($W23=$F$16,$O$62,0)</f>
        <v/>
      </c>
      <c r="AB23" s="345">
        <f>IF(X23="維持管理・運営期間",$F$56,0)</f>
        <v/>
      </c>
      <c r="AC23" s="346">
        <f>SUM(Y23:Z23,AB23)</f>
        <v/>
      </c>
      <c r="AD23" s="344">
        <f>IF($W23=$F$16,$O$30,0)</f>
        <v/>
      </c>
      <c r="AE23" s="345">
        <f>IF($X23="維持管理・運営期間",$O$41,0)</f>
        <v/>
      </c>
      <c r="AF23" s="345">
        <f>IF(AND($W23&gt;0,$W23&lt;=$O$16),$E$45,0)</f>
        <v/>
      </c>
      <c r="AG23" s="345">
        <f>IF(AND(SUM($AA$16:AA22)&gt;0,SUM($AG$16:AG22)&lt;$O$62,$W23&gt;=$O$65),$O$64,0)</f>
        <v/>
      </c>
      <c r="AH23" s="353">
        <f>IF(SUM($AA$17:$AA22)&gt;0,($O$62-SUM($AG$17:$AG22))*$E$65,0)</f>
        <v/>
      </c>
      <c r="AI23" s="346">
        <f>SUM(AD23:AF23)</f>
        <v/>
      </c>
      <c r="AJ23" s="351">
        <f>AC23-AI23</f>
        <v/>
      </c>
      <c r="AK23" s="338">
        <f>(SUM($P$31,$P$51)-SUM($AU$17:AU22))*$O$109</f>
        <v/>
      </c>
      <c r="AL23" s="348" t="n"/>
      <c r="AM23" s="352">
        <f>AJ23*$BF23</f>
        <v/>
      </c>
      <c r="AN23" s="349" t="n"/>
      <c r="AO23" s="350">
        <f>IF($W23=$F$16,$P$61,0)</f>
        <v/>
      </c>
      <c r="AP23" s="351">
        <f>IF($W23=$F$16,$P$63,0)</f>
        <v/>
      </c>
      <c r="AQ23" s="351">
        <f>IF($W23=$F$16,$P$62,0)</f>
        <v/>
      </c>
      <c r="AR23" s="345">
        <f>IF($W23&lt;$O$16,IF(W23=$F$16,$U$92,$U$93),0)</f>
        <v/>
      </c>
      <c r="AS23" s="346">
        <f>SUM(AO23:AP23,AR23)</f>
        <v/>
      </c>
      <c r="AT23" s="345">
        <f>IF(W23=$F$16,$P$30,0)</f>
        <v/>
      </c>
      <c r="AU23" s="345">
        <f>IFERROR(-PPMT($P$36,W23-$F$16,$F$17,SUM(P$31,P$51)),0)</f>
        <v/>
      </c>
      <c r="AV23" s="345">
        <f>IFERROR(-IPMT($P$36,W23-$F$16,$F$17,SUM($P$31,$P$51)),0)</f>
        <v/>
      </c>
      <c r="AW23" s="345">
        <f>IF(AND(W23&gt;$F$16,W23&lt;=SUM($F$16:$F$17)),$P$43,0)</f>
        <v/>
      </c>
      <c r="AX23" s="345">
        <f>IF($W23=1,$F$44,0)+IF(AND($W23&gt;0,$W23&lt;=$O$16),$F$45,0)</f>
        <v/>
      </c>
      <c r="AY23" s="345">
        <f>IF(AND(W23&gt;$F$16,W23&lt;=SUM($F$16:$F$17)),$P$54,0)</f>
        <v/>
      </c>
      <c r="AZ23" s="345">
        <f>IF(AND(SUM($AQ$16:AQ22)&gt;0,SUM($AZ$16:AZ22)&lt;$P$62,$W23&gt;=$P$65),$P$64,0)</f>
        <v/>
      </c>
      <c r="BA23" s="345">
        <f>IF(SUM($AQ$17:$AQ22)&gt;0,($P$62-SUM($AZ$17:$AZ22))*$F$65,0)</f>
        <v/>
      </c>
      <c r="BB23" s="346">
        <f>SUM(AT23:AY23)</f>
        <v/>
      </c>
      <c r="BC23" s="351">
        <f>AS23-BB23</f>
        <v/>
      </c>
      <c r="BD23" s="352">
        <f>BC23*$BF23</f>
        <v/>
      </c>
      <c r="BE23" s="393" t="n"/>
      <c r="BF23" s="46">
        <f>BF22/(1+$O$22)</f>
        <v/>
      </c>
      <c r="BH23" s="350">
        <f>AT23</f>
        <v/>
      </c>
      <c r="BI23" s="350">
        <f>AU23</f>
        <v/>
      </c>
      <c r="BJ23" s="351">
        <f>AV23</f>
        <v/>
      </c>
      <c r="BK23" s="351">
        <f>AW23</f>
        <v/>
      </c>
      <c r="BL23" s="351">
        <f>AY23</f>
        <v/>
      </c>
      <c r="BM23" s="351">
        <f>IF($W23&gt;$F$16,$F$56,0)</f>
        <v/>
      </c>
      <c r="BN23" s="352">
        <f>SUM(BH23:BM23)</f>
        <v/>
      </c>
      <c r="BO23" s="351">
        <f>IF($W23=$F$16,$P$32,0)</f>
        <v/>
      </c>
      <c r="BP23" s="351">
        <f>IF(AND(W23&gt;$F$16,W23&lt;=SUM($F$16:$F$17)),$P$41,0)</f>
        <v/>
      </c>
      <c r="BQ23" s="351">
        <f>IFERROR(-IPMT($P$67,W23-$F$16,$F$17,SUM(P$31,P$51)),0)</f>
        <v/>
      </c>
      <c r="BR23" s="351">
        <f>IF($W23&lt;=$O$16,$F$105,0)</f>
        <v/>
      </c>
      <c r="BS23" s="353">
        <f>IF($W23=1,SUM($O$103,$O$105),0)</f>
        <v/>
      </c>
      <c r="BT23" s="351">
        <f>IF($W23&lt;$O$16,IF(W23=$F$16,$P$93,$P$94),0)</f>
        <v/>
      </c>
      <c r="BU23" s="352">
        <f>SUM(BO23:BP23,BR23:BT23)</f>
        <v/>
      </c>
      <c r="BV23" s="352">
        <f>BN23-BU23</f>
        <v/>
      </c>
      <c r="BW23" s="342" t="n"/>
      <c r="BX23" s="338">
        <f>IFERROR(-PPMT($P$67,$W23-$F$16,$F$17,SUM(P$31,P$51)),0)</f>
        <v/>
      </c>
      <c r="BY23" s="356">
        <f>IF(BV23-BX23&gt;=0,0,1)</f>
        <v/>
      </c>
      <c r="CA23" s="0" t="n"/>
    </row>
    <row r="24" ht="15.75" customHeight="1" s="302">
      <c r="C24" s="0" t="inlineStr">
        <is>
          <t>物価上昇率</t>
        </is>
      </c>
      <c r="F24" s="357">
        <f>事業費用概算!J34</f>
        <v/>
      </c>
      <c r="V24" s="58">
        <f>IF(W24=1,DATE(YEAR($F$18)+(MONTH($F$18)&gt;=4),4,0),EOMONTH(V23,12))</f>
        <v/>
      </c>
      <c r="W24" s="7" t="n">
        <v>8</v>
      </c>
      <c r="X24" s="282">
        <f>IF(W24&gt;$O$16,"-",IF($W24&lt;=$F$16,"整備期間","維持管理・運営期間"))</f>
        <v/>
      </c>
      <c r="Y24" s="344">
        <f>IF($W24=$F$16,$O$61,0)</f>
        <v/>
      </c>
      <c r="Z24" s="345">
        <f>IF($W24=$F$16,$O$63,0)</f>
        <v/>
      </c>
      <c r="AA24" s="345">
        <f>IF($W24=$F$16,$O$62,0)</f>
        <v/>
      </c>
      <c r="AB24" s="345">
        <f>IF(X24="維持管理・運営期間",$F$56,0)</f>
        <v/>
      </c>
      <c r="AC24" s="346">
        <f>SUM(Y24:Z24,AB24)</f>
        <v/>
      </c>
      <c r="AD24" s="344">
        <f>IF($W24=$F$16,$O$30,0)</f>
        <v/>
      </c>
      <c r="AE24" s="345">
        <f>IF($X24="維持管理・運営期間",$O$41,0)</f>
        <v/>
      </c>
      <c r="AF24" s="345">
        <f>IF(AND($W24&gt;0,$W24&lt;=$O$16),$E$45,0)</f>
        <v/>
      </c>
      <c r="AG24" s="345">
        <f>IF(AND(SUM($AA$16:AA23)&gt;0,SUM($AG$16:AG23)&lt;$O$62,$W24&gt;=$O$65),$O$64,0)</f>
        <v/>
      </c>
      <c r="AH24" s="353">
        <f>IF(SUM($AA$17:$AA23)&gt;0,($O$62-SUM($AG$17:$AG23))*$E$65,0)</f>
        <v/>
      </c>
      <c r="AI24" s="346">
        <f>SUM(AD24:AF24)</f>
        <v/>
      </c>
      <c r="AJ24" s="351">
        <f>AC24-AI24</f>
        <v/>
      </c>
      <c r="AK24" s="338">
        <f>(SUM($P$31,$P$51)-SUM($AU$17:AU23))*$O$109</f>
        <v/>
      </c>
      <c r="AL24" s="348" t="n"/>
      <c r="AM24" s="352">
        <f>AJ24*$BF24</f>
        <v/>
      </c>
      <c r="AN24" s="349" t="n"/>
      <c r="AO24" s="350">
        <f>IF($W24=$F$16,$P$61,0)</f>
        <v/>
      </c>
      <c r="AP24" s="351">
        <f>IF($W24=$F$16,$P$63,0)</f>
        <v/>
      </c>
      <c r="AQ24" s="351">
        <f>IF($W24=$F$16,$P$62,0)</f>
        <v/>
      </c>
      <c r="AR24" s="345">
        <f>IF($W24&lt;$O$16,IF(W24=$F$16,$U$92,$U$93),0)</f>
        <v/>
      </c>
      <c r="AS24" s="346">
        <f>SUM(AO24:AP24,AR24)</f>
        <v/>
      </c>
      <c r="AT24" s="345">
        <f>IF(W24=$F$16,$P$30,0)</f>
        <v/>
      </c>
      <c r="AU24" s="345">
        <f>IFERROR(-PPMT($P$36,W24-$F$16,$F$17,SUM(P$31,P$51)),0)</f>
        <v/>
      </c>
      <c r="AV24" s="345">
        <f>IFERROR(-IPMT($P$36,W24-$F$16,$F$17,SUM($P$31,$P$51)),0)</f>
        <v/>
      </c>
      <c r="AW24" s="345">
        <f>IF(AND(W24&gt;$F$16,W24&lt;=SUM($F$16:$F$17)),$P$43,0)</f>
        <v/>
      </c>
      <c r="AX24" s="345">
        <f>IF($W24=1,$F$44,0)+IF(AND($W24&gt;0,$W24&lt;=$O$16),$F$45,0)</f>
        <v/>
      </c>
      <c r="AY24" s="345">
        <f>IF(AND(W24&gt;$F$16,W24&lt;=SUM($F$16:$F$17)),$P$54,0)</f>
        <v/>
      </c>
      <c r="AZ24" s="345">
        <f>IF(AND(SUM($AQ$16:AQ23)&gt;0,SUM($AZ$16:AZ23)&lt;$P$62,$W24&gt;=$P$65),$P$64,0)</f>
        <v/>
      </c>
      <c r="BA24" s="345">
        <f>IF(SUM($AQ$17:$AQ23)&gt;0,($P$62-SUM($AZ$17:$AZ23))*$F$65,0)</f>
        <v/>
      </c>
      <c r="BB24" s="346">
        <f>SUM(AT24:AY24)</f>
        <v/>
      </c>
      <c r="BC24" s="351">
        <f>AS24-BB24</f>
        <v/>
      </c>
      <c r="BD24" s="352">
        <f>BC24*$BF24</f>
        <v/>
      </c>
      <c r="BE24" s="393" t="n"/>
      <c r="BF24" s="46">
        <f>BF23/(1+$O$22)</f>
        <v/>
      </c>
      <c r="BH24" s="350">
        <f>AT24</f>
        <v/>
      </c>
      <c r="BI24" s="350">
        <f>AU24</f>
        <v/>
      </c>
      <c r="BJ24" s="351">
        <f>AV24</f>
        <v/>
      </c>
      <c r="BK24" s="351">
        <f>AW24</f>
        <v/>
      </c>
      <c r="BL24" s="351">
        <f>AY24</f>
        <v/>
      </c>
      <c r="BM24" s="351">
        <f>IF($W24&gt;$F$16,$F$56,0)</f>
        <v/>
      </c>
      <c r="BN24" s="352">
        <f>SUM(BH24:BM24)</f>
        <v/>
      </c>
      <c r="BO24" s="351">
        <f>IF($W24=$F$16,$P$32,0)</f>
        <v/>
      </c>
      <c r="BP24" s="351">
        <f>IF(AND(W24&gt;$F$16,W24&lt;=SUM($F$16:$F$17)),$P$41,0)</f>
        <v/>
      </c>
      <c r="BQ24" s="351">
        <f>IFERROR(-IPMT($P$67,W24-$F$16,$F$17,SUM(P$31,P$51)),0)</f>
        <v/>
      </c>
      <c r="BR24" s="351">
        <f>IF($W24&lt;=$O$16,$F$105,0)</f>
        <v/>
      </c>
      <c r="BS24" s="353">
        <f>IF($W24=1,SUM($O$103,$O$105),0)</f>
        <v/>
      </c>
      <c r="BT24" s="351">
        <f>IF($W24&lt;$O$16,IF(W24=$F$16,$P$93,$P$94),0)</f>
        <v/>
      </c>
      <c r="BU24" s="352">
        <f>SUM(BO24:BP24,BR24:BT24)</f>
        <v/>
      </c>
      <c r="BV24" s="352">
        <f>BN24-BU24</f>
        <v/>
      </c>
      <c r="BW24" s="342" t="n"/>
      <c r="BX24" s="338">
        <f>IFERROR(-PPMT($P$67,$W24-$F$16,$F$17,SUM(P$31,P$51)),0)</f>
        <v/>
      </c>
      <c r="BY24" s="356">
        <f>IF(BV24-BX24&gt;=0,0,1)</f>
        <v/>
      </c>
      <c r="CA24" s="0" t="n"/>
    </row>
    <row r="25" ht="15.75" customHeight="1" s="302">
      <c r="V25" s="58">
        <f>IF(W25=1,DATE(YEAR($F$18)+(MONTH($F$18)&gt;=4),4,0),EOMONTH(V24,12))</f>
        <v/>
      </c>
      <c r="W25" s="7" t="n">
        <v>9</v>
      </c>
      <c r="X25" s="282">
        <f>IF(W25&gt;$O$16,"-",IF($W25&lt;=$F$16,"整備期間","維持管理・運営期間"))</f>
        <v/>
      </c>
      <c r="Y25" s="344">
        <f>IF($W25=$F$16,$O$61,0)</f>
        <v/>
      </c>
      <c r="Z25" s="345">
        <f>IF($W25=$F$16,$O$63,0)</f>
        <v/>
      </c>
      <c r="AA25" s="345">
        <f>IF($W25=$F$16,$O$62,0)</f>
        <v/>
      </c>
      <c r="AB25" s="345">
        <f>IF(X25="維持管理・運営期間",$F$56,0)</f>
        <v/>
      </c>
      <c r="AC25" s="346">
        <f>SUM(Y25:Z25,AB25)</f>
        <v/>
      </c>
      <c r="AD25" s="344">
        <f>IF($W25=$F$16,$O$30,0)</f>
        <v/>
      </c>
      <c r="AE25" s="345">
        <f>IF($X25="維持管理・運営期間",$O$41,0)</f>
        <v/>
      </c>
      <c r="AF25" s="345">
        <f>IF(AND($W25&gt;0,$W25&lt;=$O$16),$E$45,0)</f>
        <v/>
      </c>
      <c r="AG25" s="345">
        <f>IF(AND(SUM($AA$16:AA24)&gt;0,SUM($AG$16:AG24)&lt;$O$62,$W25&gt;=$O$65),$O$64,0)</f>
        <v/>
      </c>
      <c r="AH25" s="353">
        <f>IF(SUM($AA$17:$AA24)&gt;0,($O$62-SUM($AG$17:$AG24))*$E$65,0)</f>
        <v/>
      </c>
      <c r="AI25" s="346">
        <f>SUM(AD25:AF25)</f>
        <v/>
      </c>
      <c r="AJ25" s="351">
        <f>AC25-AI25</f>
        <v/>
      </c>
      <c r="AK25" s="338">
        <f>(SUM($P$31,$P$51)-SUM($AU$17:AU24))*$O$109</f>
        <v/>
      </c>
      <c r="AL25" s="348" t="n"/>
      <c r="AM25" s="352">
        <f>AJ25*$BF25</f>
        <v/>
      </c>
      <c r="AN25" s="349" t="n"/>
      <c r="AO25" s="350">
        <f>IF($W25=$F$16,$P$61,0)</f>
        <v/>
      </c>
      <c r="AP25" s="351">
        <f>IF($W25=$F$16,$P$63,0)</f>
        <v/>
      </c>
      <c r="AQ25" s="351">
        <f>IF($W25=$F$16,$P$62,0)</f>
        <v/>
      </c>
      <c r="AR25" s="345">
        <f>IF($W25&lt;$O$16,IF(W25=$F$16,$U$92,$U$93),0)</f>
        <v/>
      </c>
      <c r="AS25" s="346">
        <f>SUM(AO25:AP25,AR25)</f>
        <v/>
      </c>
      <c r="AT25" s="345">
        <f>IF(W25=$F$16,$P$30,0)</f>
        <v/>
      </c>
      <c r="AU25" s="345">
        <f>IFERROR(-PPMT($P$36,W25-$F$16,$F$17,SUM(P$31,P$51)),0)</f>
        <v/>
      </c>
      <c r="AV25" s="345">
        <f>IFERROR(-IPMT($P$36,W25-$F$16,$F$17,SUM($P$31,$P$51)),0)</f>
        <v/>
      </c>
      <c r="AW25" s="345">
        <f>IF(AND(W25&gt;$F$16,W25&lt;=SUM($F$16:$F$17)),$P$43,0)</f>
        <v/>
      </c>
      <c r="AX25" s="345">
        <f>IF($W25=1,$F$44,0)+IF(AND($W25&gt;0,$W25&lt;=$O$16),$F$45,0)</f>
        <v/>
      </c>
      <c r="AY25" s="345">
        <f>IF(AND(W25&gt;$F$16,W25&lt;=SUM($F$16:$F$17)),$P$54,0)</f>
        <v/>
      </c>
      <c r="AZ25" s="345">
        <f>IF(AND(SUM($AQ$16:AQ24)&gt;0,SUM($AZ$16:AZ24)&lt;$P$62,$W25&gt;=$P$65),$P$64,0)</f>
        <v/>
      </c>
      <c r="BA25" s="345">
        <f>IF(SUM($AQ$17:$AQ24)&gt;0,($P$62-SUM($AZ$17:$AZ24))*$F$65,0)</f>
        <v/>
      </c>
      <c r="BB25" s="346">
        <f>SUM(AT25:AY25)</f>
        <v/>
      </c>
      <c r="BC25" s="351">
        <f>AS25-BB25</f>
        <v/>
      </c>
      <c r="BD25" s="352">
        <f>BC25*$BF25</f>
        <v/>
      </c>
      <c r="BE25" s="393" t="n"/>
      <c r="BF25" s="46">
        <f>BF24/(1+$O$22)</f>
        <v/>
      </c>
      <c r="BH25" s="350">
        <f>AT25</f>
        <v/>
      </c>
      <c r="BI25" s="350">
        <f>AU25</f>
        <v/>
      </c>
      <c r="BJ25" s="351">
        <f>AV25</f>
        <v/>
      </c>
      <c r="BK25" s="351">
        <f>AW25</f>
        <v/>
      </c>
      <c r="BL25" s="351">
        <f>AY25</f>
        <v/>
      </c>
      <c r="BM25" s="351">
        <f>IF($W25&gt;$F$16,$F$56,0)</f>
        <v/>
      </c>
      <c r="BN25" s="352">
        <f>SUM(BH25:BM25)</f>
        <v/>
      </c>
      <c r="BO25" s="351">
        <f>IF($W25=$F$16,$P$32,0)</f>
        <v/>
      </c>
      <c r="BP25" s="351">
        <f>IF(AND(W25&gt;$F$16,W25&lt;=SUM($F$16:$F$17)),$P$41,0)</f>
        <v/>
      </c>
      <c r="BQ25" s="351">
        <f>IFERROR(-IPMT($P$67,W25-$F$16,$F$17,SUM(P$31,P$51)),0)</f>
        <v/>
      </c>
      <c r="BR25" s="351">
        <f>IF($W25&lt;=$O$16,$F$105,0)</f>
        <v/>
      </c>
      <c r="BS25" s="353">
        <f>IF($W25=1,SUM($O$103,$O$105),0)</f>
        <v/>
      </c>
      <c r="BT25" s="351">
        <f>IF($W25&lt;$O$16,IF(W25=$F$16,$P$93,$P$94),0)</f>
        <v/>
      </c>
      <c r="BU25" s="352">
        <f>SUM(BO25:BP25,BR25:BT25)</f>
        <v/>
      </c>
      <c r="BV25" s="352">
        <f>BN25-BU25</f>
        <v/>
      </c>
      <c r="BW25" s="342" t="n"/>
      <c r="BX25" s="338">
        <f>IFERROR(-PPMT($P$67,$W25-$F$16,$F$17,SUM(P$31,P$51)),0)</f>
        <v/>
      </c>
      <c r="BY25" s="356">
        <f>IF(BV25-BX25&gt;=0,0,1)</f>
        <v/>
      </c>
      <c r="CA25" s="0" t="n"/>
    </row>
    <row r="26" ht="13.5" customHeight="1" s="302">
      <c r="V26" s="58">
        <f>IF(W26=1,DATE(YEAR($F$18)+(MONTH($F$18)&gt;=4),4,0),EOMONTH(V25,12))</f>
        <v/>
      </c>
      <c r="W26" s="7" t="n">
        <v>10</v>
      </c>
      <c r="X26" s="282">
        <f>IF(W26&gt;$O$16,"-",IF($W26&lt;=$F$16,"整備期間","維持管理・運営期間"))</f>
        <v/>
      </c>
      <c r="Y26" s="344">
        <f>IF($W26=$F$16,$O$61,0)</f>
        <v/>
      </c>
      <c r="Z26" s="345">
        <f>IF($W26=$F$16,$O$63,0)</f>
        <v/>
      </c>
      <c r="AA26" s="345">
        <f>IF($W26=$F$16,$O$62,0)</f>
        <v/>
      </c>
      <c r="AB26" s="345">
        <f>IF(X26="維持管理・運営期間",$F$56,0)</f>
        <v/>
      </c>
      <c r="AC26" s="346">
        <f>SUM(Y26:Z26,AB26)</f>
        <v/>
      </c>
      <c r="AD26" s="344">
        <f>IF($W26=$F$16,$O$30,0)</f>
        <v/>
      </c>
      <c r="AE26" s="345">
        <f>IF($X26="維持管理・運営期間",$O$41,0)</f>
        <v/>
      </c>
      <c r="AF26" s="345">
        <f>IF(AND($W26&gt;0,$W26&lt;=$O$16),$E$45,0)</f>
        <v/>
      </c>
      <c r="AG26" s="345">
        <f>IF(AND(SUM($AA$16:AA25)&gt;0,SUM($AG$16:AG25)&lt;$O$62,$W26&gt;=$O$65),$O$64,0)</f>
        <v/>
      </c>
      <c r="AH26" s="353">
        <f>IF(SUM($AA$17:$AA25)&gt;0,($O$62-SUM($AG$17:$AG25))*$E$65,0)</f>
        <v/>
      </c>
      <c r="AI26" s="346">
        <f>SUM(AD26:AF26)</f>
        <v/>
      </c>
      <c r="AJ26" s="351">
        <f>AC26-AI26</f>
        <v/>
      </c>
      <c r="AK26" s="338">
        <f>(SUM($P$31,$P$51)-SUM($AU$17:AU25))*$O$109</f>
        <v/>
      </c>
      <c r="AL26" s="348" t="n"/>
      <c r="AM26" s="352">
        <f>AJ26*$BF26</f>
        <v/>
      </c>
      <c r="AN26" s="349" t="n"/>
      <c r="AO26" s="350">
        <f>IF($W26=$F$16,$P$61,0)</f>
        <v/>
      </c>
      <c r="AP26" s="351">
        <f>IF($W26=$F$16,$P$63,0)</f>
        <v/>
      </c>
      <c r="AQ26" s="351">
        <f>IF($W26=$F$16,$P$62,0)</f>
        <v/>
      </c>
      <c r="AR26" s="345">
        <f>IF($W26&lt;$O$16,IF(W26=$F$16,$U$92,$U$93),0)</f>
        <v/>
      </c>
      <c r="AS26" s="346">
        <f>SUM(AO26:AP26,AR26)</f>
        <v/>
      </c>
      <c r="AT26" s="345">
        <f>IF(W26=$F$16,$P$30,0)</f>
        <v/>
      </c>
      <c r="AU26" s="345">
        <f>IFERROR(-PPMT($P$36,W26-$F$16,$F$17,SUM(P$31,P$51)),0)</f>
        <v/>
      </c>
      <c r="AV26" s="345">
        <f>IFERROR(-IPMT($P$36,W26-$F$16,$F$17,SUM($P$31,$P$51)),0)</f>
        <v/>
      </c>
      <c r="AW26" s="345">
        <f>IF(AND(W26&gt;$F$16,W26&lt;=SUM($F$16:$F$17)),$P$43,0)</f>
        <v/>
      </c>
      <c r="AX26" s="345">
        <f>IF($W26=1,$F$44,0)+IF(AND($W26&gt;0,$W26&lt;=$O$16),$F$45,0)</f>
        <v/>
      </c>
      <c r="AY26" s="345">
        <f>IF(AND(W26&gt;$F$16,W26&lt;=SUM($F$16:$F$17)),$P$54,0)</f>
        <v/>
      </c>
      <c r="AZ26" s="345">
        <f>IF(AND(SUM($AQ$16:AQ25)&gt;0,SUM($AZ$16:AZ25)&lt;$P$62,$W26&gt;=$P$65),$P$64,0)</f>
        <v/>
      </c>
      <c r="BA26" s="345">
        <f>IF(SUM($AQ$17:$AQ25)&gt;0,($P$62-SUM($AZ$17:$AZ25))*$F$65,0)</f>
        <v/>
      </c>
      <c r="BB26" s="346">
        <f>SUM(AT26:AY26)</f>
        <v/>
      </c>
      <c r="BC26" s="351">
        <f>AS26-BB26</f>
        <v/>
      </c>
      <c r="BD26" s="352">
        <f>BC26*$BF26</f>
        <v/>
      </c>
      <c r="BE26" s="393" t="n"/>
      <c r="BF26" s="46">
        <f>BF25/(1+$O$22)</f>
        <v/>
      </c>
      <c r="BH26" s="350">
        <f>AT26</f>
        <v/>
      </c>
      <c r="BI26" s="350">
        <f>AU26</f>
        <v/>
      </c>
      <c r="BJ26" s="351">
        <f>AV26</f>
        <v/>
      </c>
      <c r="BK26" s="351">
        <f>AW26</f>
        <v/>
      </c>
      <c r="BL26" s="351">
        <f>AY26</f>
        <v/>
      </c>
      <c r="BM26" s="351">
        <f>IF($W26&gt;$F$16,$F$56,0)</f>
        <v/>
      </c>
      <c r="BN26" s="352">
        <f>SUM(BH26:BM26)</f>
        <v/>
      </c>
      <c r="BO26" s="351">
        <f>IF($W26=$F$16,$P$32,0)</f>
        <v/>
      </c>
      <c r="BP26" s="351">
        <f>IF(AND(W26&gt;$F$16,W26&lt;=SUM($F$16:$F$17)),$P$41,0)</f>
        <v/>
      </c>
      <c r="BQ26" s="351">
        <f>IFERROR(-IPMT($P$67,W26-$F$16,$F$17,SUM(P$31,P$51)),0)</f>
        <v/>
      </c>
      <c r="BR26" s="351">
        <f>IF($W26&lt;=$O$16,$F$105,0)</f>
        <v/>
      </c>
      <c r="BS26" s="353">
        <f>IF($W26=1,SUM($O$103,$O$105),0)</f>
        <v/>
      </c>
      <c r="BT26" s="351">
        <f>IF($W26&lt;$O$16,IF(W26=$F$16,$P$93,$P$94),0)</f>
        <v/>
      </c>
      <c r="BU26" s="352">
        <f>SUM(BO26:BP26,BR26:BT26)</f>
        <v/>
      </c>
      <c r="BV26" s="352">
        <f>BN26-BU26</f>
        <v/>
      </c>
      <c r="BW26" s="342" t="n"/>
      <c r="BX26" s="338">
        <f>IFERROR(-PPMT($P$67,$W26-$F$16,$F$17,SUM(P$31,P$51)),0)</f>
        <v/>
      </c>
      <c r="BY26" s="356">
        <f>IF(BV26-BX26&gt;=0,0,1)</f>
        <v/>
      </c>
      <c r="CA26" s="0" t="n"/>
    </row>
    <row r="27" ht="15.75" customHeight="1" s="302">
      <c r="A27" s="4" t="inlineStr">
        <is>
          <t>2．事業にかかる費用</t>
        </is>
      </c>
      <c r="H27" s="72" t="n"/>
      <c r="I27" s="72" t="n"/>
      <c r="J27" s="4" t="inlineStr">
        <is>
          <t>２．事業にかかる費用</t>
        </is>
      </c>
      <c r="V27" s="58">
        <f>IF(W27=1,DATE(YEAR($F$18)+(MONTH($F$18)&gt;=4),4,0),EOMONTH(V26,12))</f>
        <v/>
      </c>
      <c r="W27" s="7" t="n">
        <v>11</v>
      </c>
      <c r="X27" s="282">
        <f>IF(W27&gt;$O$16,"-",IF($W27&lt;=$F$16,"整備期間","維持管理・運営期間"))</f>
        <v/>
      </c>
      <c r="Y27" s="344">
        <f>IF($W27=$F$16,$O$61,0)</f>
        <v/>
      </c>
      <c r="Z27" s="345">
        <f>IF($W27=$F$16,$O$63,0)</f>
        <v/>
      </c>
      <c r="AA27" s="345">
        <f>IF($W27=$F$16,$O$62,0)</f>
        <v/>
      </c>
      <c r="AB27" s="345">
        <f>IF(X27="維持管理・運営期間",$F$56,0)</f>
        <v/>
      </c>
      <c r="AC27" s="346">
        <f>SUM(Y27:Z27,AB27)</f>
        <v/>
      </c>
      <c r="AD27" s="344">
        <f>IF($W27=$F$16,$O$30,0)</f>
        <v/>
      </c>
      <c r="AE27" s="345">
        <f>IF($X27="維持管理・運営期間",$O$41,0)</f>
        <v/>
      </c>
      <c r="AF27" s="345">
        <f>IF(AND($W27&gt;0,$W27&lt;=$O$16),$E$45,0)</f>
        <v/>
      </c>
      <c r="AG27" s="345">
        <f>IF(AND(SUM($AA$16:AA26)&gt;0,SUM($AG$16:AG26)&lt;$O$62,$W27&gt;=$O$65),$O$64,0)</f>
        <v/>
      </c>
      <c r="AH27" s="353">
        <f>IF(SUM($AA$17:$AA26)&gt;0,($O$62-SUM($AG$17:$AG26))*$E$65,0)</f>
        <v/>
      </c>
      <c r="AI27" s="346">
        <f>SUM(AD27:AF27)</f>
        <v/>
      </c>
      <c r="AJ27" s="351">
        <f>AC27-AI27</f>
        <v/>
      </c>
      <c r="AK27" s="338">
        <f>(SUM($P$31,$P$51)-SUM($AU$17:AU26))*$O$109</f>
        <v/>
      </c>
      <c r="AL27" s="348" t="n"/>
      <c r="AM27" s="352">
        <f>AJ27*$BF27</f>
        <v/>
      </c>
      <c r="AN27" s="349" t="n"/>
      <c r="AO27" s="350">
        <f>IF($W27=$F$16,$P$61,0)</f>
        <v/>
      </c>
      <c r="AP27" s="351">
        <f>IF($W27=$F$16,$P$63,0)</f>
        <v/>
      </c>
      <c r="AQ27" s="351">
        <f>IF($W27=$F$16,$P$62,0)</f>
        <v/>
      </c>
      <c r="AR27" s="345">
        <f>IF($W27&lt;$O$16,IF(W27=$F$16,$U$92,$U$93),0)</f>
        <v/>
      </c>
      <c r="AS27" s="346">
        <f>SUM(AO27:AP27,AR27)</f>
        <v/>
      </c>
      <c r="AT27" s="345">
        <f>IF(W27=$F$16,$P$30,0)</f>
        <v/>
      </c>
      <c r="AU27" s="345">
        <f>IFERROR(-PPMT($P$36,W27-$F$16,$F$17,SUM(P$31,P$51)),0)</f>
        <v/>
      </c>
      <c r="AV27" s="345">
        <f>IFERROR(-IPMT($P$36,W27-$F$16,$F$17,SUM($P$31,$P$51)),0)</f>
        <v/>
      </c>
      <c r="AW27" s="345">
        <f>IF(AND(W27&gt;$F$16,W27&lt;=SUM($F$16:$F$17)),$P$43,0)</f>
        <v/>
      </c>
      <c r="AX27" s="345">
        <f>IF($W27=1,$F$44,0)+IF(AND($W27&gt;0,$W27&lt;=$O$16),$F$45,0)</f>
        <v/>
      </c>
      <c r="AY27" s="345">
        <f>IF(AND(W27&gt;$F$16,W27&lt;=SUM($F$16:$F$17)),$P$54,0)</f>
        <v/>
      </c>
      <c r="AZ27" s="345">
        <f>IF(AND(SUM($AQ$16:AQ26)&gt;0,SUM($AZ$16:AZ26)&lt;$P$62,$W27&gt;=$P$65),$P$64,0)</f>
        <v/>
      </c>
      <c r="BA27" s="345">
        <f>IF(SUM($AQ$17:$AQ26)&gt;0,($P$62-SUM($AZ$17:$AZ26))*$F$65,0)</f>
        <v/>
      </c>
      <c r="BB27" s="346">
        <f>SUM(AT27:AY27)</f>
        <v/>
      </c>
      <c r="BC27" s="351">
        <f>AS27-BB27</f>
        <v/>
      </c>
      <c r="BD27" s="352">
        <f>BC27*$BF27</f>
        <v/>
      </c>
      <c r="BE27" s="393" t="n"/>
      <c r="BF27" s="46">
        <f>BF26/(1+$O$22)</f>
        <v/>
      </c>
      <c r="BH27" s="350">
        <f>AT27</f>
        <v/>
      </c>
      <c r="BI27" s="350">
        <f>AU27</f>
        <v/>
      </c>
      <c r="BJ27" s="351">
        <f>AV27</f>
        <v/>
      </c>
      <c r="BK27" s="351">
        <f>AW27</f>
        <v/>
      </c>
      <c r="BL27" s="351">
        <f>AY27</f>
        <v/>
      </c>
      <c r="BM27" s="351">
        <f>IF($W27&gt;$F$16,$F$56,0)</f>
        <v/>
      </c>
      <c r="BN27" s="352">
        <f>SUM(BH27:BM27)</f>
        <v/>
      </c>
      <c r="BO27" s="351">
        <f>IF($W27=$F$16,$P$32,0)</f>
        <v/>
      </c>
      <c r="BP27" s="351">
        <f>IF(AND(W27&gt;$F$16,W27&lt;=SUM($F$16:$F$17)),$P$41,0)</f>
        <v/>
      </c>
      <c r="BQ27" s="351">
        <f>IFERROR(-IPMT($P$67,W27-$F$16,$F$17,SUM(P$31,P$51)),0)</f>
        <v/>
      </c>
      <c r="BR27" s="351">
        <f>IF($W27&lt;=$O$16,$F$105,0)</f>
        <v/>
      </c>
      <c r="BS27" s="353">
        <f>IF($W27=1,SUM($O$103,$O$105),0)</f>
        <v/>
      </c>
      <c r="BT27" s="351">
        <f>IF($W27&lt;$O$16,IF(W27=$F$16,$P$93,$P$94),0)</f>
        <v/>
      </c>
      <c r="BU27" s="352">
        <f>SUM(BO27:BP27,BR27:BT27)</f>
        <v/>
      </c>
      <c r="BV27" s="352">
        <f>BN27-BU27</f>
        <v/>
      </c>
      <c r="BW27" s="342" t="n"/>
      <c r="BX27" s="338">
        <f>IFERROR(-PPMT($P$67,$W27-$F$16,$F$17,SUM(P$31,P$51)),0)</f>
        <v/>
      </c>
      <c r="BY27" s="356">
        <f>IF(BV27-BX27&gt;=0,0,1)</f>
        <v/>
      </c>
      <c r="CA27" s="0" t="n"/>
    </row>
    <row r="28" ht="15.75" customHeight="1" s="302">
      <c r="B28" s="0" t="inlineStr">
        <is>
          <t>2.1施設整備費用</t>
        </is>
      </c>
      <c r="D28" s="0" t="inlineStr">
        <is>
          <t>百万円</t>
        </is>
      </c>
      <c r="F28" s="394">
        <f>SUM(F29:F30)</f>
        <v/>
      </c>
      <c r="J28" s="4" t="inlineStr">
        <is>
          <t>2.1 施設整備費用</t>
        </is>
      </c>
      <c r="O28" s="0" t="inlineStr">
        <is>
          <t>PSC</t>
        </is>
      </c>
      <c r="P28" s="0" t="inlineStr">
        <is>
          <t>PFI-LCC</t>
        </is>
      </c>
      <c r="V28" s="58">
        <f>IF(W28=1,DATE(YEAR($F$18)+(MONTH($F$18)&gt;=4),4,0),EOMONTH(V27,12))</f>
        <v/>
      </c>
      <c r="W28" s="7" t="n">
        <v>12</v>
      </c>
      <c r="X28" s="282">
        <f>IF(W28&gt;$O$16,"-",IF($W28&lt;=$F$16,"整備期間","維持管理・運営期間"))</f>
        <v/>
      </c>
      <c r="Y28" s="344">
        <f>IF($W28=$F$16,$O$61,0)</f>
        <v/>
      </c>
      <c r="Z28" s="345">
        <f>IF($W28=$F$16,$O$63,0)</f>
        <v/>
      </c>
      <c r="AA28" s="345">
        <f>IF($W28=$F$16,$O$62,0)</f>
        <v/>
      </c>
      <c r="AB28" s="345">
        <f>IF(X28="維持管理・運営期間",$F$56,0)</f>
        <v/>
      </c>
      <c r="AC28" s="346">
        <f>SUM(Y28:Z28,AB28)</f>
        <v/>
      </c>
      <c r="AD28" s="344">
        <f>IF($W28=$F$16,$O$30,0)</f>
        <v/>
      </c>
      <c r="AE28" s="345">
        <f>IF($X28="維持管理・運営期間",$O$41,0)</f>
        <v/>
      </c>
      <c r="AF28" s="345">
        <f>IF(AND($W28&gt;0,$W28&lt;=$O$16),$E$45,0)</f>
        <v/>
      </c>
      <c r="AG28" s="345">
        <f>IF(AND(SUM($AA$16:AA27)&gt;0,SUM($AG$16:AG27)&lt;$O$62,$W28&gt;=$O$65),$O$64,0)</f>
        <v/>
      </c>
      <c r="AH28" s="353">
        <f>IF(SUM($AA$17:$AA27)&gt;0,($O$62-SUM($AG$17:$AG27))*$E$65,0)</f>
        <v/>
      </c>
      <c r="AI28" s="346">
        <f>SUM(AD28:AF28)</f>
        <v/>
      </c>
      <c r="AJ28" s="351">
        <f>AC28-AI28</f>
        <v/>
      </c>
      <c r="AK28" s="338">
        <f>(SUM($P$31,$P$51)-SUM($AU$17:AU27))*$O$109</f>
        <v/>
      </c>
      <c r="AL28" s="348" t="n"/>
      <c r="AM28" s="352">
        <f>AJ28*$BF28</f>
        <v/>
      </c>
      <c r="AN28" s="349" t="n"/>
      <c r="AO28" s="350">
        <f>IF($W28=$F$16,$P$61,0)</f>
        <v/>
      </c>
      <c r="AP28" s="351">
        <f>IF($W28=$F$16,$P$63,0)</f>
        <v/>
      </c>
      <c r="AQ28" s="351">
        <f>IF($W28=$F$16,$P$62,0)</f>
        <v/>
      </c>
      <c r="AR28" s="345">
        <f>IF($W28&lt;$O$16,IF(W28=$F$16,$U$92,$U$93),0)</f>
        <v/>
      </c>
      <c r="AS28" s="346">
        <f>SUM(AO28:AP28,AR28)</f>
        <v/>
      </c>
      <c r="AT28" s="345">
        <f>IF(W28=$F$16,$P$30,0)</f>
        <v/>
      </c>
      <c r="AU28" s="345">
        <f>IFERROR(-PPMT($P$36,W28-$F$16,$F$17,SUM(P$31,P$51)),0)</f>
        <v/>
      </c>
      <c r="AV28" s="345">
        <f>IFERROR(-IPMT($P$36,W28-$F$16,$F$17,SUM($P$31,$P$51)),0)</f>
        <v/>
      </c>
      <c r="AW28" s="345">
        <f>IF(AND(W28&gt;$F$16,W28&lt;=SUM($F$16:$F$17)),$P$43,0)</f>
        <v/>
      </c>
      <c r="AX28" s="345">
        <f>IF($W28=1,$F$44,0)+IF(AND($W28&gt;0,$W28&lt;=$O$16),$F$45,0)</f>
        <v/>
      </c>
      <c r="AY28" s="345">
        <f>IF(AND(W28&gt;$F$16,W28&lt;=SUM($F$16:$F$17)),$P$54,0)</f>
        <v/>
      </c>
      <c r="AZ28" s="345">
        <f>IF(AND(SUM($AQ$16:AQ27)&gt;0,SUM($AZ$16:AZ27)&lt;$P$62,$W28&gt;=$P$65),$P$64,0)</f>
        <v/>
      </c>
      <c r="BA28" s="345">
        <f>IF(SUM($AQ$17:$AQ27)&gt;0,($P$62-SUM($AZ$17:$AZ27))*$F$65,0)</f>
        <v/>
      </c>
      <c r="BB28" s="346">
        <f>SUM(AT28:AY28)</f>
        <v/>
      </c>
      <c r="BC28" s="351">
        <f>AS28-BB28</f>
        <v/>
      </c>
      <c r="BD28" s="352">
        <f>BC28*$BF28</f>
        <v/>
      </c>
      <c r="BE28" s="393" t="n"/>
      <c r="BF28" s="46">
        <f>BF27/(1+$O$22)</f>
        <v/>
      </c>
      <c r="BH28" s="350">
        <f>AT28</f>
        <v/>
      </c>
      <c r="BI28" s="350">
        <f>AU28</f>
        <v/>
      </c>
      <c r="BJ28" s="351">
        <f>AV28</f>
        <v/>
      </c>
      <c r="BK28" s="351">
        <f>AW28</f>
        <v/>
      </c>
      <c r="BL28" s="351">
        <f>AY28</f>
        <v/>
      </c>
      <c r="BM28" s="351">
        <f>IF($W28&gt;$F$16,$F$56,0)</f>
        <v/>
      </c>
      <c r="BN28" s="352">
        <f>SUM(BH28:BM28)</f>
        <v/>
      </c>
      <c r="BO28" s="351">
        <f>IF($W28=$F$16,$P$32,0)</f>
        <v/>
      </c>
      <c r="BP28" s="351">
        <f>IF(AND(W28&gt;$F$16,W28&lt;=SUM($F$16:$F$17)),$P$41,0)</f>
        <v/>
      </c>
      <c r="BQ28" s="351">
        <f>IFERROR(-IPMT($P$67,W28-$F$16,$F$17,SUM(P$31,P$51)),0)</f>
        <v/>
      </c>
      <c r="BR28" s="351">
        <f>IF($W28&lt;=$O$16,$F$105,0)</f>
        <v/>
      </c>
      <c r="BS28" s="353">
        <f>IF($W28=1,SUM($O$103,$O$105),0)</f>
        <v/>
      </c>
      <c r="BT28" s="351">
        <f>IF($W28&lt;$O$16,IF(W28=$F$16,$P$93,$P$94),0)</f>
        <v/>
      </c>
      <c r="BU28" s="352">
        <f>SUM(BO28:BP28,BR28:BT28)</f>
        <v/>
      </c>
      <c r="BV28" s="352">
        <f>BN28-BU28</f>
        <v/>
      </c>
      <c r="BW28" s="342" t="n"/>
      <c r="BX28" s="338">
        <f>IFERROR(-PPMT($P$67,$W28-$F$16,$F$17,SUM(P$31,P$51)),0)</f>
        <v/>
      </c>
      <c r="BY28" s="356">
        <f>IF(BV28-BX28&gt;=0,0,1)</f>
        <v/>
      </c>
      <c r="CA28" s="0" t="n"/>
    </row>
    <row r="29" ht="15.75" customHeight="1" s="302">
      <c r="C29" s="2" t="inlineStr">
        <is>
          <t>うち、過去の落札価格を反映</t>
        </is>
      </c>
      <c r="D29" s="0" t="inlineStr">
        <is>
          <t>百万円</t>
        </is>
      </c>
      <c r="F29" s="359">
        <f>事業費用概算!G6</f>
        <v/>
      </c>
      <c r="K29" s="0" t="inlineStr">
        <is>
          <t>施設整備費用</t>
        </is>
      </c>
      <c r="N29" s="19" t="inlineStr">
        <is>
          <t>百万円</t>
        </is>
      </c>
      <c r="O29" s="358">
        <f>F30*$F$50+F29</f>
        <v/>
      </c>
      <c r="P29" s="358">
        <f>F28*(1-F51)</f>
        <v/>
      </c>
      <c r="Q29" s="0" t="inlineStr">
        <is>
          <t>PSCは競争の効果反映、LCCは削減率を反映</t>
        </is>
      </c>
      <c r="V29" s="58">
        <f>IF(W29=1,DATE(YEAR($F$18)+(MONTH($F$18)&gt;=4),4,0),EOMONTH(V28,12))</f>
        <v/>
      </c>
      <c r="W29" s="7" t="n">
        <v>13</v>
      </c>
      <c r="X29" s="282">
        <f>IF(W29&gt;$O$16,"-",IF($W29&lt;=$F$16,"整備期間","維持管理・運営期間"))</f>
        <v/>
      </c>
      <c r="Y29" s="344">
        <f>IF($W29=$F$16,$O$61,0)</f>
        <v/>
      </c>
      <c r="Z29" s="345">
        <f>IF($W29=$F$16,$O$63,0)</f>
        <v/>
      </c>
      <c r="AA29" s="345">
        <f>IF($W29=$F$16,$O$62,0)</f>
        <v/>
      </c>
      <c r="AB29" s="345">
        <f>IF(X29="維持管理・運営期間",$F$56,0)</f>
        <v/>
      </c>
      <c r="AC29" s="346">
        <f>SUM(Y29:Z29,AB29)</f>
        <v/>
      </c>
      <c r="AD29" s="344">
        <f>IF($W29=$F$16,$O$30,0)</f>
        <v/>
      </c>
      <c r="AE29" s="345">
        <f>IF($X29="維持管理・運営期間",$O$41,0)</f>
        <v/>
      </c>
      <c r="AF29" s="345">
        <f>IF(AND($W29&gt;0,$W29&lt;=$O$16),$E$45,0)</f>
        <v/>
      </c>
      <c r="AG29" s="345">
        <f>IF(AND(SUM($AA$16:AA28)&gt;0,SUM($AG$16:AG28)&lt;$O$62,$W29&gt;=$O$65),$O$64,0)</f>
        <v/>
      </c>
      <c r="AH29" s="353">
        <f>IF(SUM($AA$17:$AA28)&gt;0,($O$62-SUM($AG$17:$AG28))*$E$65,0)</f>
        <v/>
      </c>
      <c r="AI29" s="346">
        <f>SUM(AD29:AF29)</f>
        <v/>
      </c>
      <c r="AJ29" s="351">
        <f>AC29-AI29</f>
        <v/>
      </c>
      <c r="AK29" s="338">
        <f>(SUM($P$31,$P$51)-SUM($AU$17:AU28))*$O$109</f>
        <v/>
      </c>
      <c r="AL29" s="348" t="n"/>
      <c r="AM29" s="352">
        <f>AJ29*$BF29</f>
        <v/>
      </c>
      <c r="AN29" s="349" t="n"/>
      <c r="AO29" s="350">
        <f>IF($W29=$F$16,$P$61,0)</f>
        <v/>
      </c>
      <c r="AP29" s="351">
        <f>IF($W29=$F$16,$P$63,0)</f>
        <v/>
      </c>
      <c r="AQ29" s="351">
        <f>IF($W29=$F$16,$P$62,0)</f>
        <v/>
      </c>
      <c r="AR29" s="345">
        <f>IF($W29&lt;$O$16,IF(W29=$F$16,$U$92,$U$93),0)</f>
        <v/>
      </c>
      <c r="AS29" s="346">
        <f>SUM(AO29:AP29,AR29)</f>
        <v/>
      </c>
      <c r="AT29" s="345">
        <f>IF(W29=$F$16,$P$30,0)</f>
        <v/>
      </c>
      <c r="AU29" s="345">
        <f>IFERROR(-PPMT($P$36,W29-$F$16,$F$17,SUM(P$31,P$51)),0)</f>
        <v/>
      </c>
      <c r="AV29" s="345">
        <f>IFERROR(-IPMT($P$36,W29-$F$16,$F$17,SUM($P$31,$P$51)),0)</f>
        <v/>
      </c>
      <c r="AW29" s="345">
        <f>IF(AND(W29&gt;$F$16,W29&lt;=SUM($F$16:$F$17)),$P$43,0)</f>
        <v/>
      </c>
      <c r="AX29" s="345">
        <f>IF($W29=1,$F$44,0)+IF(AND($W29&gt;0,$W29&lt;=$O$16),$F$45,0)</f>
        <v/>
      </c>
      <c r="AY29" s="345">
        <f>IF(AND(W29&gt;$F$16,W29&lt;=SUM($F$16:$F$17)),$P$54,0)</f>
        <v/>
      </c>
      <c r="AZ29" s="345">
        <f>IF(AND(SUM($AQ$16:AQ28)&gt;0,SUM($AZ$16:AZ28)&lt;$P$62,$W29&gt;=$P$65),$P$64,0)</f>
        <v/>
      </c>
      <c r="BA29" s="345">
        <f>IF(SUM($AQ$17:$AQ28)&gt;0,($P$62-SUM($AZ$17:$AZ28))*$F$65,0)</f>
        <v/>
      </c>
      <c r="BB29" s="346">
        <f>SUM(AT29:AY29)</f>
        <v/>
      </c>
      <c r="BC29" s="351">
        <f>AS29-BB29</f>
        <v/>
      </c>
      <c r="BD29" s="352">
        <f>BC29*$BF29</f>
        <v/>
      </c>
      <c r="BE29" s="393" t="n"/>
      <c r="BF29" s="46">
        <f>BF28/(1+$O$22)</f>
        <v/>
      </c>
      <c r="BH29" s="350">
        <f>AT29</f>
        <v/>
      </c>
      <c r="BI29" s="350">
        <f>AU29</f>
        <v/>
      </c>
      <c r="BJ29" s="351">
        <f>AV29</f>
        <v/>
      </c>
      <c r="BK29" s="351">
        <f>AW29</f>
        <v/>
      </c>
      <c r="BL29" s="351">
        <f>AY29</f>
        <v/>
      </c>
      <c r="BM29" s="351">
        <f>IF($W29&gt;$F$16,$F$56,0)</f>
        <v/>
      </c>
      <c r="BN29" s="352">
        <f>SUM(BH29:BM29)</f>
        <v/>
      </c>
      <c r="BO29" s="351">
        <f>IF($W29=$F$16,$P$32,0)</f>
        <v/>
      </c>
      <c r="BP29" s="351">
        <f>IF(AND(W29&gt;$F$16,W29&lt;=SUM($F$16:$F$17)),$P$41,0)</f>
        <v/>
      </c>
      <c r="BQ29" s="351">
        <f>IFERROR(-IPMT($P$67,W29-$F$16,$F$17,SUM(P$31,P$51)),0)</f>
        <v/>
      </c>
      <c r="BR29" s="351">
        <f>IF($W29&lt;=$O$16,$F$105,0)</f>
        <v/>
      </c>
      <c r="BS29" s="353">
        <f>IF($W29=1,SUM($O$103,$O$105),0)</f>
        <v/>
      </c>
      <c r="BT29" s="351">
        <f>IF($W29&lt;$O$16,IF(W29=$F$16,$P$93,$P$94),0)</f>
        <v/>
      </c>
      <c r="BU29" s="352">
        <f>SUM(BO29:BP29,BR29:BT29)</f>
        <v/>
      </c>
      <c r="BV29" s="352">
        <f>BN29-BU29</f>
        <v/>
      </c>
      <c r="BW29" s="342" t="n"/>
      <c r="BX29" s="338">
        <f>IFERROR(-PPMT($P$67,$W29-$F$16,$F$17,SUM(P$31,P$51)),0)</f>
        <v/>
      </c>
      <c r="BY29" s="356">
        <f>IF(BV29-BX29&gt;=0,0,1)</f>
        <v/>
      </c>
      <c r="CA29" s="0" t="n"/>
    </row>
    <row r="30" ht="15.75" customHeight="1" s="302">
      <c r="C30" s="2" t="inlineStr">
        <is>
          <t>うち、PSCの予定価格を反映</t>
        </is>
      </c>
      <c r="D30" s="0" t="inlineStr">
        <is>
          <t>百万円</t>
        </is>
      </c>
      <c r="F30" s="359">
        <f>事業費用概算!G7</f>
        <v/>
      </c>
      <c r="M30" s="56" t="inlineStr">
        <is>
          <t>完工時、一括払</t>
        </is>
      </c>
      <c r="N30" s="19" t="inlineStr">
        <is>
          <t>百万円</t>
        </is>
      </c>
      <c r="O30" s="360">
        <f>O29*E32</f>
        <v/>
      </c>
      <c r="P30" s="360">
        <f>$P$29*F32</f>
        <v/>
      </c>
      <c r="V30" s="58">
        <f>IF(W30=1,DATE(YEAR($F$18)+(MONTH($F$18)&gt;=4),4,0),EOMONTH(V29,12))</f>
        <v/>
      </c>
      <c r="W30" s="7" t="n">
        <v>14</v>
      </c>
      <c r="X30" s="282">
        <f>IF(W30&gt;$O$16,"-",IF($W30&lt;=$F$16,"整備期間","維持管理・運営期間"))</f>
        <v/>
      </c>
      <c r="Y30" s="344">
        <f>IF($W30=$F$16,$O$61,0)</f>
        <v/>
      </c>
      <c r="Z30" s="345">
        <f>IF($W30=$F$16,$O$63,0)</f>
        <v/>
      </c>
      <c r="AA30" s="345">
        <f>IF($W30=$F$16,$O$62,0)</f>
        <v/>
      </c>
      <c r="AB30" s="345">
        <f>IF(X30="維持管理・運営期間",$F$56,0)</f>
        <v/>
      </c>
      <c r="AC30" s="346">
        <f>SUM(Y30:Z30,AB30)</f>
        <v/>
      </c>
      <c r="AD30" s="344">
        <f>IF($W30=$F$16,$O$30,0)</f>
        <v/>
      </c>
      <c r="AE30" s="345">
        <f>IF($X30="維持管理・運営期間",$O$41,0)</f>
        <v/>
      </c>
      <c r="AF30" s="345">
        <f>IF(AND($W30&gt;0,$W30&lt;=$O$16),$E$45,0)</f>
        <v/>
      </c>
      <c r="AG30" s="345">
        <f>IF(AND(SUM($AA$16:AA29)&gt;0,SUM($AG$16:AG29)&lt;$O$62,$W30&gt;=$O$65),$O$64,0)</f>
        <v/>
      </c>
      <c r="AH30" s="353">
        <f>IF(SUM($AA$17:$AA29)&gt;0,($O$62-SUM($AG$17:$AG29))*$E$65,0)</f>
        <v/>
      </c>
      <c r="AI30" s="346">
        <f>SUM(AD30:AF30)</f>
        <v/>
      </c>
      <c r="AJ30" s="351">
        <f>AC30-AI30</f>
        <v/>
      </c>
      <c r="AK30" s="338">
        <f>(SUM($P$31,$P$51)-SUM($AU$17:AU29))*$O$109</f>
        <v/>
      </c>
      <c r="AL30" s="348" t="n"/>
      <c r="AM30" s="352">
        <f>AJ30*$BF30</f>
        <v/>
      </c>
      <c r="AN30" s="349" t="n"/>
      <c r="AO30" s="350">
        <f>IF($W30=$F$16,$P$61,0)</f>
        <v/>
      </c>
      <c r="AP30" s="351">
        <f>IF($W30=$F$16,$P$63,0)</f>
        <v/>
      </c>
      <c r="AQ30" s="351">
        <f>IF($W30=$F$16,$P$62,0)</f>
        <v/>
      </c>
      <c r="AR30" s="345">
        <f>IF($W30&lt;$O$16,IF(W30=$F$16,$U$92,$U$93),0)</f>
        <v/>
      </c>
      <c r="AS30" s="346">
        <f>SUM(AO30:AP30,AR30)</f>
        <v/>
      </c>
      <c r="AT30" s="345">
        <f>IF(W30=$F$16,$P$30,0)</f>
        <v/>
      </c>
      <c r="AU30" s="345">
        <f>IFERROR(-PPMT($P$36,W30-$F$16,$F$17,SUM(P$31,P$51)),0)</f>
        <v/>
      </c>
      <c r="AV30" s="345">
        <f>IFERROR(-IPMT($P$36,W30-$F$16,$F$17,SUM($P$31,$P$51)),0)</f>
        <v/>
      </c>
      <c r="AW30" s="345">
        <f>IF(AND(W30&gt;$F$16,W30&lt;=SUM($F$16:$F$17)),$P$43,0)</f>
        <v/>
      </c>
      <c r="AX30" s="345">
        <f>IF($W30=1,$F$44,0)+IF(AND($W30&gt;0,$W30&lt;=$O$16),$F$45,0)</f>
        <v/>
      </c>
      <c r="AY30" s="345">
        <f>IF(AND(W30&gt;$F$16,W30&lt;=SUM($F$16:$F$17)),$P$54,0)</f>
        <v/>
      </c>
      <c r="AZ30" s="345">
        <f>IF(AND(SUM($AQ$16:AQ29)&gt;0,SUM($AZ$16:AZ29)&lt;$P$62,$W30&gt;=$P$65),$P$64,0)</f>
        <v/>
      </c>
      <c r="BA30" s="345">
        <f>IF(SUM($AQ$17:$AQ29)&gt;0,($P$62-SUM($AZ$17:$AZ29))*$F$65,0)</f>
        <v/>
      </c>
      <c r="BB30" s="346">
        <f>SUM(AT30:AY30)</f>
        <v/>
      </c>
      <c r="BC30" s="351">
        <f>AS30-BB30</f>
        <v/>
      </c>
      <c r="BD30" s="352">
        <f>BC30*$BF30</f>
        <v/>
      </c>
      <c r="BE30" s="393" t="n"/>
      <c r="BF30" s="46">
        <f>BF29/(1+$O$22)</f>
        <v/>
      </c>
      <c r="BH30" s="350">
        <f>AT30</f>
        <v/>
      </c>
      <c r="BI30" s="350">
        <f>AU30</f>
        <v/>
      </c>
      <c r="BJ30" s="351">
        <f>AV30</f>
        <v/>
      </c>
      <c r="BK30" s="351">
        <f>AW30</f>
        <v/>
      </c>
      <c r="BL30" s="351">
        <f>AY30</f>
        <v/>
      </c>
      <c r="BM30" s="351">
        <f>IF($W30&gt;$F$16,$F$56,0)</f>
        <v/>
      </c>
      <c r="BN30" s="352">
        <f>SUM(BH30:BM30)</f>
        <v/>
      </c>
      <c r="BO30" s="351">
        <f>IF($W30=$F$16,$P$32,0)</f>
        <v/>
      </c>
      <c r="BP30" s="351">
        <f>IF(AND(W30&gt;$F$16,W30&lt;=SUM($F$16:$F$17)),$P$41,0)</f>
        <v/>
      </c>
      <c r="BQ30" s="351">
        <f>IFERROR(-IPMT($P$67,W30-$F$16,$F$17,SUM(P$31,P$51)),0)</f>
        <v/>
      </c>
      <c r="BR30" s="351">
        <f>IF($W30&lt;=$O$16,$F$105,0)</f>
        <v/>
      </c>
      <c r="BS30" s="353">
        <f>IF($W30=1,SUM($O$103,$O$105),0)</f>
        <v/>
      </c>
      <c r="BT30" s="351">
        <f>IF($W30&lt;$O$16,IF(W30=$F$16,$P$93,$P$94),0)</f>
        <v/>
      </c>
      <c r="BU30" s="352">
        <f>SUM(BO30:BP30,BR30:BT30)</f>
        <v/>
      </c>
      <c r="BV30" s="352">
        <f>BN30-BU30</f>
        <v/>
      </c>
      <c r="BW30" s="342" t="n"/>
      <c r="BX30" s="338">
        <f>IFERROR(-PPMT($P$67,$W30-$F$16,$F$17,SUM(P$31,P$51)),0)</f>
        <v/>
      </c>
      <c r="BY30" s="356">
        <f>IF(BV30-BX30&gt;=0,0,1)</f>
        <v/>
      </c>
      <c r="CA30" s="0" t="n"/>
    </row>
    <row r="31" ht="15.75" customHeight="1" s="302">
      <c r="C31" s="0" t="inlineStr">
        <is>
          <t>施設整備費用の支払内訳</t>
        </is>
      </c>
      <c r="E31" s="19" t="inlineStr">
        <is>
          <t>PSC</t>
        </is>
      </c>
      <c r="F31" s="19" t="inlineStr">
        <is>
          <t>PFI-LCC</t>
        </is>
      </c>
      <c r="M31" s="56" t="inlineStr">
        <is>
          <t>完工後、割賦払</t>
        </is>
      </c>
      <c r="N31" s="19" t="inlineStr">
        <is>
          <t>百万円</t>
        </is>
      </c>
      <c r="O31" s="360">
        <f>O30*E33</f>
        <v/>
      </c>
      <c r="P31" s="360">
        <f>$P$29*F33</f>
        <v/>
      </c>
      <c r="V31" s="58">
        <f>IF(W31=1,DATE(YEAR($F$18)+(MONTH($F$18)&gt;=4),4,0),EOMONTH(V30,12))</f>
        <v/>
      </c>
      <c r="W31" s="7" t="n">
        <v>15</v>
      </c>
      <c r="X31" s="282">
        <f>IF(W31&gt;$O$16,"-",IF($W31&lt;=$F$16,"整備期間","維持管理・運営期間"))</f>
        <v/>
      </c>
      <c r="Y31" s="344">
        <f>IF($W31=$F$16,$O$61,0)</f>
        <v/>
      </c>
      <c r="Z31" s="345">
        <f>IF($W31=$F$16,$O$63,0)</f>
        <v/>
      </c>
      <c r="AA31" s="345">
        <f>IF($W31=$F$16,$O$62,0)</f>
        <v/>
      </c>
      <c r="AB31" s="345">
        <f>IF(X31="維持管理・運営期間",$F$56,0)</f>
        <v/>
      </c>
      <c r="AC31" s="346">
        <f>SUM(Y31:Z31,AB31)</f>
        <v/>
      </c>
      <c r="AD31" s="344">
        <f>IF($W31=$F$16,$O$30,0)</f>
        <v/>
      </c>
      <c r="AE31" s="345">
        <f>IF($X31="維持管理・運営期間",$O$41,0)</f>
        <v/>
      </c>
      <c r="AF31" s="345">
        <f>IF(AND($W31&gt;0,$W31&lt;=$O$16),$E$45,0)</f>
        <v/>
      </c>
      <c r="AG31" s="345">
        <f>IF(AND(SUM($AA$16:AA30)&gt;0,SUM($AG$16:AG30)&lt;$O$62,$W31&gt;=$O$65),$O$64,0)</f>
        <v/>
      </c>
      <c r="AH31" s="353">
        <f>IF(SUM($AA$17:$AA30)&gt;0,($O$62-SUM($AG$17:$AG30))*$E$65,0)</f>
        <v/>
      </c>
      <c r="AI31" s="346">
        <f>SUM(AD31:AF31)</f>
        <v/>
      </c>
      <c r="AJ31" s="351">
        <f>AC31-AI31</f>
        <v/>
      </c>
      <c r="AK31" s="338">
        <f>(SUM($P$31,$P$51)-SUM($AU$17:AU30))*$O$109</f>
        <v/>
      </c>
      <c r="AL31" s="348" t="n"/>
      <c r="AM31" s="352">
        <f>AJ31*$BF31</f>
        <v/>
      </c>
      <c r="AN31" s="349" t="n"/>
      <c r="AO31" s="350">
        <f>IF($W31=$F$16,$P$61,0)</f>
        <v/>
      </c>
      <c r="AP31" s="351">
        <f>IF($W31=$F$16,$P$63,0)</f>
        <v/>
      </c>
      <c r="AQ31" s="351">
        <f>IF($W31=$F$16,$P$62,0)</f>
        <v/>
      </c>
      <c r="AR31" s="345">
        <f>IF($W31&lt;$O$16,IF(W31=$F$16,$U$92,$U$93),0)</f>
        <v/>
      </c>
      <c r="AS31" s="346">
        <f>SUM(AO31:AP31,AR31)</f>
        <v/>
      </c>
      <c r="AT31" s="345">
        <f>IF(W31=$F$16,$P$30,0)</f>
        <v/>
      </c>
      <c r="AU31" s="345">
        <f>IFERROR(-PPMT($P$36,W31-$F$16,$F$17,SUM(P$31,P$51)),0)</f>
        <v/>
      </c>
      <c r="AV31" s="345">
        <f>IFERROR(-IPMT($P$36,W31-$F$16,$F$17,SUM($P$31,$P$51)),0)</f>
        <v/>
      </c>
      <c r="AW31" s="345">
        <f>IF(AND(W31&gt;$F$16,W31&lt;=SUM($F$16:$F$17)),$P$43,0)</f>
        <v/>
      </c>
      <c r="AX31" s="345">
        <f>IF($W31=1,$F$44,0)+IF(AND($W31&gt;0,$W31&lt;=$O$16),$F$45,0)</f>
        <v/>
      </c>
      <c r="AY31" s="345">
        <f>IF(AND(W31&gt;$F$16,W31&lt;=SUM($F$16:$F$17)),$P$54,0)</f>
        <v/>
      </c>
      <c r="AZ31" s="345">
        <f>IF(AND(SUM($AQ$16:AQ30)&gt;0,SUM($AZ$16:AZ30)&lt;$P$62,$W31&gt;=$P$65),$P$64,0)</f>
        <v/>
      </c>
      <c r="BA31" s="345">
        <f>IF(SUM($AQ$17:$AQ30)&gt;0,($P$62-SUM($AZ$17:$AZ30))*$F$65,0)</f>
        <v/>
      </c>
      <c r="BB31" s="346">
        <f>SUM(AT31:AY31)</f>
        <v/>
      </c>
      <c r="BC31" s="351">
        <f>AS31-BB31</f>
        <v/>
      </c>
      <c r="BD31" s="352">
        <f>BC31*$BF31</f>
        <v/>
      </c>
      <c r="BE31" s="393" t="n"/>
      <c r="BF31" s="46">
        <f>BF30/(1+$O$22)</f>
        <v/>
      </c>
      <c r="BH31" s="350">
        <f>AT31</f>
        <v/>
      </c>
      <c r="BI31" s="350">
        <f>AU31</f>
        <v/>
      </c>
      <c r="BJ31" s="351">
        <f>AV31</f>
        <v/>
      </c>
      <c r="BK31" s="351">
        <f>AW31</f>
        <v/>
      </c>
      <c r="BL31" s="351">
        <f>AY31</f>
        <v/>
      </c>
      <c r="BM31" s="351">
        <f>IF($W31&gt;$F$16,$F$56,0)</f>
        <v/>
      </c>
      <c r="BN31" s="352">
        <f>SUM(BH31:BM31)</f>
        <v/>
      </c>
      <c r="BO31" s="351">
        <f>IF($W31=$F$16,$P$32,0)</f>
        <v/>
      </c>
      <c r="BP31" s="351">
        <f>IF(AND(W31&gt;$F$16,W31&lt;=SUM($F$16:$F$17)),$P$41,0)</f>
        <v/>
      </c>
      <c r="BQ31" s="351">
        <f>IFERROR(-IPMT($P$67,W31-$F$16,$F$17,SUM(P$31,P$51)),0)</f>
        <v/>
      </c>
      <c r="BR31" s="351">
        <f>IF($W31&lt;=$O$16,$F$105,0)</f>
        <v/>
      </c>
      <c r="BS31" s="353">
        <f>IF($W31=1,SUM($O$103,$O$105),0)</f>
        <v/>
      </c>
      <c r="BT31" s="351">
        <f>IF($W31&lt;$O$16,IF(W31=$F$16,$P$93,$P$94),0)</f>
        <v/>
      </c>
      <c r="BU31" s="352">
        <f>SUM(BO31:BP31,BR31:BT31)</f>
        <v/>
      </c>
      <c r="BV31" s="352">
        <f>BN31-BU31</f>
        <v/>
      </c>
      <c r="BW31" s="342" t="n"/>
      <c r="BX31" s="338">
        <f>IFERROR(-PPMT($P$67,$W31-$F$16,$F$17,SUM(P$31,P$51)),0)</f>
        <v/>
      </c>
      <c r="BY31" s="356">
        <f>IF(BV31-BX31&gt;=0,0,1)</f>
        <v/>
      </c>
      <c r="CA31" s="0" t="n"/>
    </row>
    <row r="32" ht="15.75" customHeight="1" s="302">
      <c r="C32" s="2" t="inlineStr">
        <is>
          <t>完工時、一括払</t>
        </is>
      </c>
      <c r="D32" s="0" t="inlineStr">
        <is>
          <t>％</t>
        </is>
      </c>
      <c r="E32" s="268" t="n">
        <v>1</v>
      </c>
      <c r="F32" s="138" t="n">
        <v>1</v>
      </c>
      <c r="H32" s="72" t="inlineStr">
        <is>
          <t>一括払のみ</t>
        </is>
      </c>
      <c r="M32" s="56" t="inlineStr">
        <is>
          <t>施設整備費用合計</t>
        </is>
      </c>
      <c r="N32" s="19" t="inlineStr">
        <is>
          <t>百万円</t>
        </is>
      </c>
      <c r="O32" s="360">
        <f>SUM(O30:O31)</f>
        <v/>
      </c>
      <c r="P32" s="360">
        <f>SUM(P30:P31)</f>
        <v/>
      </c>
      <c r="V32" s="58">
        <f>IF(W32=1,DATE(YEAR($F$18)+(MONTH($F$18)&gt;=4),4,0),EOMONTH(V31,12))</f>
        <v/>
      </c>
      <c r="W32" s="7" t="n">
        <v>16</v>
      </c>
      <c r="X32" s="282">
        <f>IF(W32&gt;$O$16,"-",IF($W32&lt;=$F$16,"整備期間","維持管理・運営期間"))</f>
        <v/>
      </c>
      <c r="Y32" s="344">
        <f>IF($W32=$F$16,$O$61,0)</f>
        <v/>
      </c>
      <c r="Z32" s="345">
        <f>IF($W32=$F$16,$O$63,0)</f>
        <v/>
      </c>
      <c r="AA32" s="345">
        <f>IF($W32=$F$16,$O$62,0)</f>
        <v/>
      </c>
      <c r="AB32" s="345">
        <f>IF(X32="維持管理・運営期間",$F$56,0)</f>
        <v/>
      </c>
      <c r="AC32" s="346">
        <f>SUM(Y32:Z32,AB32)</f>
        <v/>
      </c>
      <c r="AD32" s="344">
        <f>IF($W32=$F$16,$O$30,0)</f>
        <v/>
      </c>
      <c r="AE32" s="345">
        <f>IF($X32="維持管理・運営期間",$O$41,0)</f>
        <v/>
      </c>
      <c r="AF32" s="345">
        <f>IF(AND($W32&gt;0,$W32&lt;=$O$16),$E$45,0)</f>
        <v/>
      </c>
      <c r="AG32" s="345">
        <f>IF(AND(SUM($AA$16:AA31)&gt;0,SUM($AG$16:AG31)&lt;$O$62,$W32&gt;=$O$65),$O$64,0)</f>
        <v/>
      </c>
      <c r="AH32" s="353">
        <f>IF(SUM($AA$17:$AA31)&gt;0,($O$62-SUM($AG$17:$AG31))*$E$65,0)</f>
        <v/>
      </c>
      <c r="AI32" s="346">
        <f>SUM(AD32:AF32)</f>
        <v/>
      </c>
      <c r="AJ32" s="351">
        <f>AC32-AI32</f>
        <v/>
      </c>
      <c r="AK32" s="338">
        <f>(SUM($P$31,$P$51)-SUM($AU$17:AU31))*$O$109</f>
        <v/>
      </c>
      <c r="AL32" s="348" t="n"/>
      <c r="AM32" s="352">
        <f>AJ32*$BF32</f>
        <v/>
      </c>
      <c r="AN32" s="349" t="n"/>
      <c r="AO32" s="350">
        <f>IF($W32=$F$16,$P$61,0)</f>
        <v/>
      </c>
      <c r="AP32" s="351">
        <f>IF($W32=$F$16,$P$63,0)</f>
        <v/>
      </c>
      <c r="AQ32" s="351">
        <f>IF($W32=$F$16,$P$62,0)</f>
        <v/>
      </c>
      <c r="AR32" s="345">
        <f>IF($W32&lt;$O$16,IF(W32=$F$16,$U$92,$U$93),0)</f>
        <v/>
      </c>
      <c r="AS32" s="346">
        <f>SUM(AO32:AP32,AR32)</f>
        <v/>
      </c>
      <c r="AT32" s="345">
        <f>IF(W32=$F$16,$P$30,0)</f>
        <v/>
      </c>
      <c r="AU32" s="345">
        <f>IFERROR(-PPMT($P$36,W32-$F$16,$F$17,SUM(P$31,P$51)),0)</f>
        <v/>
      </c>
      <c r="AV32" s="345">
        <f>IFERROR(-IPMT($P$36,W32-$F$16,$F$17,SUM($P$31,$P$51)),0)</f>
        <v/>
      </c>
      <c r="AW32" s="345">
        <f>IF(AND(W32&gt;$F$16,W32&lt;=SUM($F$16:$F$17)),$P$43,0)</f>
        <v/>
      </c>
      <c r="AX32" s="345">
        <f>IF($W32=1,$F$44,0)+IF(AND($W32&gt;0,$W32&lt;=$O$16),$F$45,0)</f>
        <v/>
      </c>
      <c r="AY32" s="345">
        <f>IF(AND(W32&gt;$F$16,W32&lt;=SUM($F$16:$F$17)),$P$54,0)</f>
        <v/>
      </c>
      <c r="AZ32" s="345">
        <f>IF(AND(SUM($AQ$16:AQ31)&gt;0,SUM($AZ$16:AZ31)&lt;$P$62,$W32&gt;=$P$65),$P$64,0)</f>
        <v/>
      </c>
      <c r="BA32" s="345">
        <f>IF(SUM($AQ$17:$AQ31)&gt;0,($P$62-SUM($AZ$17:$AZ31))*$F$65,0)</f>
        <v/>
      </c>
      <c r="BB32" s="346">
        <f>SUM(AT32:AY32)</f>
        <v/>
      </c>
      <c r="BC32" s="351">
        <f>AS32-BB32</f>
        <v/>
      </c>
      <c r="BD32" s="352">
        <f>BC32*$BF32</f>
        <v/>
      </c>
      <c r="BE32" s="393" t="n"/>
      <c r="BF32" s="46">
        <f>BF31/(1+$O$22)</f>
        <v/>
      </c>
      <c r="BH32" s="350">
        <f>AT32</f>
        <v/>
      </c>
      <c r="BI32" s="350">
        <f>AU32</f>
        <v/>
      </c>
      <c r="BJ32" s="351">
        <f>AV32</f>
        <v/>
      </c>
      <c r="BK32" s="351">
        <f>AW32</f>
        <v/>
      </c>
      <c r="BL32" s="351">
        <f>AY32</f>
        <v/>
      </c>
      <c r="BM32" s="351">
        <f>IF($W32&gt;$F$16,$F$56,0)</f>
        <v/>
      </c>
      <c r="BN32" s="352">
        <f>SUM(BH32:BM32)</f>
        <v/>
      </c>
      <c r="BO32" s="351">
        <f>IF($W32=$F$16,$P$32,0)</f>
        <v/>
      </c>
      <c r="BP32" s="351">
        <f>IF(AND(W32&gt;$F$16,W32&lt;=SUM($F$16:$F$17)),$P$41,0)</f>
        <v/>
      </c>
      <c r="BQ32" s="351">
        <f>IFERROR(-IPMT($P$67,W32-$F$16,$F$17,SUM(P$31,P$51)),0)</f>
        <v/>
      </c>
      <c r="BR32" s="351">
        <f>IF($W32&lt;=$O$16,$F$105,0)</f>
        <v/>
      </c>
      <c r="BS32" s="353">
        <f>IF($W32=1,SUM($O$103,$O$105),0)</f>
        <v/>
      </c>
      <c r="BT32" s="351">
        <f>IF($W32&lt;$O$16,IF(W32=$F$16,$P$93,$P$94),0)</f>
        <v/>
      </c>
      <c r="BU32" s="352">
        <f>SUM(BO32:BP32,BR32:BT32)</f>
        <v/>
      </c>
      <c r="BV32" s="352">
        <f>BN32-BU32</f>
        <v/>
      </c>
      <c r="BW32" s="342" t="n"/>
      <c r="BX32" s="338">
        <f>IFERROR(-PPMT($P$67,$W32-$F$16,$F$17,SUM(P$31,P$51)),0)</f>
        <v/>
      </c>
      <c r="BY32" s="356">
        <f>IF(BV32-BX32&gt;=0,0,1)</f>
        <v/>
      </c>
      <c r="CA32" s="0" t="n"/>
    </row>
    <row r="33" ht="15.75" customHeight="1" s="302">
      <c r="C33" s="2" t="inlineStr">
        <is>
          <t>完工後、割賦払</t>
        </is>
      </c>
      <c r="D33" s="0" t="inlineStr">
        <is>
          <t>％</t>
        </is>
      </c>
      <c r="E33" s="139" t="n"/>
      <c r="F33" s="139" t="n"/>
      <c r="V33" s="58">
        <f>IF(W33=1,DATE(YEAR($F$18)+(MONTH($F$18)&gt;=4),4,0),EOMONTH(V32,12))</f>
        <v/>
      </c>
      <c r="W33" s="7" t="n">
        <v>17</v>
      </c>
      <c r="X33" s="282">
        <f>IF(W33&gt;$O$16,"-",IF($W33&lt;=$F$16,"整備期間","維持管理・運営期間"))</f>
        <v/>
      </c>
      <c r="Y33" s="344">
        <f>IF($W33=$F$16,$O$61,0)</f>
        <v/>
      </c>
      <c r="Z33" s="345">
        <f>IF($W33=$F$16,$O$63,0)</f>
        <v/>
      </c>
      <c r="AA33" s="345">
        <f>IF($W33=$F$16,$O$62,0)</f>
        <v/>
      </c>
      <c r="AB33" s="345">
        <f>IF(X33="維持管理・運営期間",$F$56,0)</f>
        <v/>
      </c>
      <c r="AC33" s="346">
        <f>SUM(Y33:Z33,AB33)</f>
        <v/>
      </c>
      <c r="AD33" s="344">
        <f>IF($W33=$F$16,$O$30,0)</f>
        <v/>
      </c>
      <c r="AE33" s="345">
        <f>IF($X33="維持管理・運営期間",$O$41,0)</f>
        <v/>
      </c>
      <c r="AF33" s="345">
        <f>IF(AND($W33&gt;0,$W33&lt;=$O$16),$E$45,0)</f>
        <v/>
      </c>
      <c r="AG33" s="345">
        <f>IF(AND(SUM($AA$16:AA32)&gt;0,SUM($AG$16:AG32)&lt;$O$62,$W33&gt;=$O$65),$O$64,0)</f>
        <v/>
      </c>
      <c r="AH33" s="353">
        <f>IF(SUM($AA$17:$AA32)&gt;0,($O$62-SUM($AG$17:$AG32))*$E$65,0)</f>
        <v/>
      </c>
      <c r="AI33" s="346">
        <f>SUM(AD33:AF33)</f>
        <v/>
      </c>
      <c r="AJ33" s="351">
        <f>AC33-AI33</f>
        <v/>
      </c>
      <c r="AK33" s="338">
        <f>(SUM($P$31,$P$51)-SUM($AU$17:AU32))*$O$109</f>
        <v/>
      </c>
      <c r="AL33" s="348" t="n"/>
      <c r="AM33" s="352">
        <f>AJ33*$BF33</f>
        <v/>
      </c>
      <c r="AN33" s="349" t="n"/>
      <c r="AO33" s="350">
        <f>IF($W33=$F$16,$P$61,0)</f>
        <v/>
      </c>
      <c r="AP33" s="351">
        <f>IF($W33=$F$16,$P$63,0)</f>
        <v/>
      </c>
      <c r="AQ33" s="351">
        <f>IF($W33=$F$16,$P$62,0)</f>
        <v/>
      </c>
      <c r="AR33" s="345">
        <f>IF($W33&lt;$O$16,IF(W33=$F$16,$U$92,$U$93),0)</f>
        <v/>
      </c>
      <c r="AS33" s="346">
        <f>SUM(AO33:AP33,AR33)</f>
        <v/>
      </c>
      <c r="AT33" s="345">
        <f>IF(W33=$F$16,$P$30,0)</f>
        <v/>
      </c>
      <c r="AU33" s="345">
        <f>IFERROR(-PPMT($P$36,W33-$F$16,$F$17,SUM(P$31,P$51)),0)</f>
        <v/>
      </c>
      <c r="AV33" s="345">
        <f>IFERROR(-IPMT($P$36,W33-$F$16,$F$17,SUM($P$31,$P$51)),0)</f>
        <v/>
      </c>
      <c r="AW33" s="345">
        <f>IF(AND(W33&gt;$F$16,W33&lt;=SUM($F$16:$F$17)),$P$43,0)</f>
        <v/>
      </c>
      <c r="AX33" s="345">
        <f>IF($W33=1,$F$44,0)+IF(AND($W33&gt;0,$W33&lt;=$O$16),$F$45,0)</f>
        <v/>
      </c>
      <c r="AY33" s="345">
        <f>IF(AND(W33&gt;$F$16,W33&lt;=SUM($F$16:$F$17)),$P$54,0)</f>
        <v/>
      </c>
      <c r="AZ33" s="345">
        <f>IF(AND(SUM($AQ$16:AQ32)&gt;0,SUM($AZ$16:AZ32)&lt;$P$62,$W33&gt;=$P$65),$P$64,0)</f>
        <v/>
      </c>
      <c r="BA33" s="345">
        <f>IF(SUM($AQ$17:$AQ32)&gt;0,($P$62-SUM($AZ$17:$AZ32))*$F$65,0)</f>
        <v/>
      </c>
      <c r="BB33" s="346">
        <f>SUM(AT33:AY33)</f>
        <v/>
      </c>
      <c r="BC33" s="351">
        <f>AS33-BB33</f>
        <v/>
      </c>
      <c r="BD33" s="352">
        <f>BC33*$BF33</f>
        <v/>
      </c>
      <c r="BE33" s="393" t="n"/>
      <c r="BF33" s="46">
        <f>BF32/(1+$O$22)</f>
        <v/>
      </c>
      <c r="BH33" s="350">
        <f>AT33</f>
        <v/>
      </c>
      <c r="BI33" s="350">
        <f>AU33</f>
        <v/>
      </c>
      <c r="BJ33" s="351">
        <f>AV33</f>
        <v/>
      </c>
      <c r="BK33" s="351">
        <f>AW33</f>
        <v/>
      </c>
      <c r="BL33" s="351">
        <f>AY33</f>
        <v/>
      </c>
      <c r="BM33" s="351">
        <f>IF($W33&gt;$F$16,$F$56,0)</f>
        <v/>
      </c>
      <c r="BN33" s="352">
        <f>SUM(BH33:BM33)</f>
        <v/>
      </c>
      <c r="BO33" s="351">
        <f>IF($W33=$F$16,$P$32,0)</f>
        <v/>
      </c>
      <c r="BP33" s="351">
        <f>IF(AND(W33&gt;$F$16,W33&lt;=SUM($F$16:$F$17)),$P$41,0)</f>
        <v/>
      </c>
      <c r="BQ33" s="351">
        <f>IFERROR(-IPMT($P$67,W33-$F$16,$F$17,SUM(P$31,P$51)),0)</f>
        <v/>
      </c>
      <c r="BR33" s="351">
        <f>IF($W33&lt;=$O$16,$F$105,0)</f>
        <v/>
      </c>
      <c r="BS33" s="353">
        <f>IF($W33=1,SUM($O$103,$O$105),0)</f>
        <v/>
      </c>
      <c r="BT33" s="351">
        <f>IF($W33&lt;$O$16,IF(W33=$F$16,$P$93,$P$94),0)</f>
        <v/>
      </c>
      <c r="BU33" s="352">
        <f>SUM(BO33:BP33,BR33:BT33)</f>
        <v/>
      </c>
      <c r="BV33" s="352">
        <f>BN33-BU33</f>
        <v/>
      </c>
      <c r="BW33" s="342" t="n"/>
      <c r="BX33" s="338">
        <f>IFERROR(-PPMT($P$67,$W33-$F$16,$F$17,SUM(P$31,P$51)),0)</f>
        <v/>
      </c>
      <c r="BY33" s="356">
        <f>IF(BV33-BX33&gt;=0,0,1)</f>
        <v/>
      </c>
      <c r="CA33" s="0" t="n"/>
    </row>
    <row r="34" ht="15.75" customHeight="1" s="302">
      <c r="E34" s="13">
        <f>SUM(E32:E33)</f>
        <v/>
      </c>
      <c r="F34" s="13">
        <f>SUM(F32:F33)</f>
        <v/>
      </c>
      <c r="V34" s="58">
        <f>IF(W34=1,DATE(YEAR($F$18)+(MONTH($F$18)&gt;=4),4,0),EOMONTH(V33,12))</f>
        <v/>
      </c>
      <c r="W34" s="7" t="n">
        <v>18</v>
      </c>
      <c r="X34" s="282">
        <f>IF(W34&gt;$O$16,"-",IF($W34&lt;=$F$16,"整備期間","維持管理・運営期間"))</f>
        <v/>
      </c>
      <c r="Y34" s="344">
        <f>IF($W34=$F$16,$O$61,0)</f>
        <v/>
      </c>
      <c r="Z34" s="345">
        <f>IF($W34=$F$16,$O$63,0)</f>
        <v/>
      </c>
      <c r="AA34" s="345">
        <f>IF($W34=$F$16,$O$62,0)</f>
        <v/>
      </c>
      <c r="AB34" s="345">
        <f>IF(X34="維持管理・運営期間",$F$56,0)</f>
        <v/>
      </c>
      <c r="AC34" s="346">
        <f>SUM(Y34:Z34,AB34)</f>
        <v/>
      </c>
      <c r="AD34" s="344">
        <f>IF($W34=$F$16,$O$30,0)</f>
        <v/>
      </c>
      <c r="AE34" s="345">
        <f>IF($X34="維持管理・運営期間",$O$41,0)</f>
        <v/>
      </c>
      <c r="AF34" s="345">
        <f>IF(AND($W34&gt;0,$W34&lt;=$O$16),$E$45,0)</f>
        <v/>
      </c>
      <c r="AG34" s="345">
        <f>IF(AND(SUM($AA$16:AA33)&gt;0,SUM($AG$16:AG33)&lt;$O$62,$W34&gt;=$O$65),$O$64,0)</f>
        <v/>
      </c>
      <c r="AH34" s="353">
        <f>IF(SUM($AA$17:$AA33)&gt;0,($O$62-SUM($AG$17:$AG33))*$E$65,0)</f>
        <v/>
      </c>
      <c r="AI34" s="346">
        <f>SUM(AD34:AF34)</f>
        <v/>
      </c>
      <c r="AJ34" s="351">
        <f>AC34-AI34</f>
        <v/>
      </c>
      <c r="AK34" s="338">
        <f>(SUM($P$31,$P$51)-SUM($AU$17:AU33))*$O$109</f>
        <v/>
      </c>
      <c r="AL34" s="348" t="n"/>
      <c r="AM34" s="352">
        <f>AJ34*$BF34</f>
        <v/>
      </c>
      <c r="AN34" s="349" t="n"/>
      <c r="AO34" s="350">
        <f>IF($W34=$F$16,$P$61,0)</f>
        <v/>
      </c>
      <c r="AP34" s="351">
        <f>IF($W34=$F$16,$P$63,0)</f>
        <v/>
      </c>
      <c r="AQ34" s="351">
        <f>IF($W34=$F$16,$P$62,0)</f>
        <v/>
      </c>
      <c r="AR34" s="345">
        <f>IF($W34&lt;$O$16,IF(W34=$F$16,$U$92,$U$93),0)</f>
        <v/>
      </c>
      <c r="AS34" s="346">
        <f>SUM(AO34:AP34,AR34)</f>
        <v/>
      </c>
      <c r="AT34" s="345">
        <f>IF(W34=$F$16,$P$30,0)</f>
        <v/>
      </c>
      <c r="AU34" s="345">
        <f>IFERROR(-PPMT($P$36,W34-$F$16,$F$17,SUM(P$31,P$51)),0)</f>
        <v/>
      </c>
      <c r="AV34" s="345">
        <f>IFERROR(-IPMT($P$36,W34-$F$16,$F$17,SUM($P$31,$P$51)),0)</f>
        <v/>
      </c>
      <c r="AW34" s="345">
        <f>IF(AND(W34&gt;$F$16,W34&lt;=SUM($F$16:$F$17)),$P$43,0)</f>
        <v/>
      </c>
      <c r="AX34" s="345">
        <f>IF($W34=1,$F$44,0)+IF(AND($W34&gt;0,$W34&lt;=$O$16),$F$45,0)</f>
        <v/>
      </c>
      <c r="AY34" s="345">
        <f>IF(AND(W34&gt;$F$16,W34&lt;=SUM($F$16:$F$17)),$P$54,0)</f>
        <v/>
      </c>
      <c r="AZ34" s="345">
        <f>IF(AND(SUM($AQ$16:AQ33)&gt;0,SUM($AZ$16:AZ33)&lt;$P$62,$W34&gt;=$P$65),$P$64,0)</f>
        <v/>
      </c>
      <c r="BA34" s="345">
        <f>IF(SUM($AQ$17:$AQ33)&gt;0,($P$62-SUM($AZ$17:$AZ33))*$F$65,0)</f>
        <v/>
      </c>
      <c r="BB34" s="346">
        <f>SUM(AT34:AY34)</f>
        <v/>
      </c>
      <c r="BC34" s="351">
        <f>AS34-BB34</f>
        <v/>
      </c>
      <c r="BD34" s="352">
        <f>BC34*$BF34</f>
        <v/>
      </c>
      <c r="BE34" s="393" t="n"/>
      <c r="BF34" s="46">
        <f>BF33/(1+$O$22)</f>
        <v/>
      </c>
      <c r="BH34" s="350">
        <f>AT34</f>
        <v/>
      </c>
      <c r="BI34" s="350">
        <f>AU34</f>
        <v/>
      </c>
      <c r="BJ34" s="351">
        <f>AV34</f>
        <v/>
      </c>
      <c r="BK34" s="351">
        <f>AW34</f>
        <v/>
      </c>
      <c r="BL34" s="351">
        <f>AY34</f>
        <v/>
      </c>
      <c r="BM34" s="351">
        <f>IF($W34&gt;$F$16,$F$56,0)</f>
        <v/>
      </c>
      <c r="BN34" s="352">
        <f>SUM(BH34:BM34)</f>
        <v/>
      </c>
      <c r="BO34" s="351">
        <f>IF($W34=$F$16,$P$32,0)</f>
        <v/>
      </c>
      <c r="BP34" s="351">
        <f>IF(AND(W34&gt;$F$16,W34&lt;=SUM($F$16:$F$17)),$P$41,0)</f>
        <v/>
      </c>
      <c r="BQ34" s="351">
        <f>IFERROR(-IPMT($P$67,W34-$F$16,$F$17,SUM(P$31,P$51)),0)</f>
        <v/>
      </c>
      <c r="BR34" s="351">
        <f>IF($W34&lt;=$O$16,$F$105,0)</f>
        <v/>
      </c>
      <c r="BS34" s="353">
        <f>IF($W34=1,SUM($O$103,$O$105),0)</f>
        <v/>
      </c>
      <c r="BT34" s="351">
        <f>IF($W34&lt;$O$16,IF(W34=$F$16,$P$93,$P$94),0)</f>
        <v/>
      </c>
      <c r="BU34" s="352">
        <f>SUM(BO34:BP34,BR34:BT34)</f>
        <v/>
      </c>
      <c r="BV34" s="352">
        <f>BN34-BU34</f>
        <v/>
      </c>
      <c r="BW34" s="342" t="n"/>
      <c r="BX34" s="338">
        <f>IFERROR(-PPMT($P$67,$W34-$F$16,$F$17,SUM(P$31,P$51)),0)</f>
        <v/>
      </c>
      <c r="BY34" s="356">
        <f>IF(BV34-BX34&gt;=0,0,1)</f>
        <v/>
      </c>
      <c r="CA34" s="0" t="n"/>
    </row>
    <row r="35" ht="15.75" customHeight="1" s="302">
      <c r="B35" s="56" t="inlineStr">
        <is>
          <t>2.2割賦金利（％）</t>
        </is>
      </c>
      <c r="C35" s="2" t="inlineStr">
        <is>
          <t>基準金利</t>
        </is>
      </c>
      <c r="D35" s="0" t="inlineStr">
        <is>
          <t>％</t>
        </is>
      </c>
      <c r="F35" s="15" t="n">
        <v>0</v>
      </c>
      <c r="H35" s="150" t="inlineStr">
        <is>
          <t>割賦払なし</t>
        </is>
      </c>
      <c r="J35" s="102" t="inlineStr">
        <is>
          <t>2.2 サービス購入費（完工後支払）割賦金利（％）</t>
        </is>
      </c>
      <c r="P35" s="0" t="inlineStr">
        <is>
          <t>PFI-LCC</t>
        </is>
      </c>
      <c r="V35" s="58">
        <f>IF(W35=1,DATE(YEAR($F$18)+(MONTH($F$18)&gt;=4),4,0),EOMONTH(V34,12))</f>
        <v/>
      </c>
      <c r="W35" s="7" t="n">
        <v>19</v>
      </c>
      <c r="X35" s="282">
        <f>IF(W35&gt;$O$16,"-",IF($W35&lt;=$F$16,"整備期間","維持管理・運営期間"))</f>
        <v/>
      </c>
      <c r="Y35" s="344">
        <f>IF($W35=$F$16,$O$61,0)</f>
        <v/>
      </c>
      <c r="Z35" s="345">
        <f>IF($W35=$F$16,$O$63,0)</f>
        <v/>
      </c>
      <c r="AA35" s="345">
        <f>IF($W35=$F$16,$O$62,0)</f>
        <v/>
      </c>
      <c r="AB35" s="345">
        <f>IF(X35="維持管理・運営期間",$F$56,0)</f>
        <v/>
      </c>
      <c r="AC35" s="346">
        <f>SUM(Y35:Z35,AB35)</f>
        <v/>
      </c>
      <c r="AD35" s="344">
        <f>IF($W35=$F$16,$O$30,0)</f>
        <v/>
      </c>
      <c r="AE35" s="345">
        <f>IF($X35="維持管理・運営期間",$O$41,0)</f>
        <v/>
      </c>
      <c r="AF35" s="345">
        <f>IF(AND($W35&gt;0,$W35&lt;=$O$16),$E$45,0)</f>
        <v/>
      </c>
      <c r="AG35" s="345">
        <f>IF(AND(SUM($AA$16:AA34)&gt;0,SUM($AG$16:AG34)&lt;$O$62,$W35&gt;=$O$65),$O$64,0)</f>
        <v/>
      </c>
      <c r="AH35" s="353">
        <f>IF(SUM($AA$17:$AA34)&gt;0,($O$62-SUM($AG$17:$AG34))*$E$65,0)</f>
        <v/>
      </c>
      <c r="AI35" s="346">
        <f>SUM(AD35:AF35)</f>
        <v/>
      </c>
      <c r="AJ35" s="351">
        <f>AC35-AI35</f>
        <v/>
      </c>
      <c r="AK35" s="338">
        <f>(SUM($P$31,$P$51)-SUM($AU$17:AU34))*$O$109</f>
        <v/>
      </c>
      <c r="AL35" s="348" t="n"/>
      <c r="AM35" s="352">
        <f>AJ35*$BF35</f>
        <v/>
      </c>
      <c r="AN35" s="349" t="n"/>
      <c r="AO35" s="350">
        <f>IF($W35=$F$16,$P$61,0)</f>
        <v/>
      </c>
      <c r="AP35" s="351">
        <f>IF($W35=$F$16,$P$63,0)</f>
        <v/>
      </c>
      <c r="AQ35" s="351">
        <f>IF($W35=$F$16,$P$62,0)</f>
        <v/>
      </c>
      <c r="AR35" s="345">
        <f>IF($W35&lt;$O$16,IF(W35=$F$16,$U$92,$U$93),0)</f>
        <v/>
      </c>
      <c r="AS35" s="346">
        <f>SUM(AO35:AP35,AR35)</f>
        <v/>
      </c>
      <c r="AT35" s="345">
        <f>IF(W35=$F$16,$P$30,0)</f>
        <v/>
      </c>
      <c r="AU35" s="345">
        <f>IFERROR(-PPMT($P$36,W35-$F$16,$F$17,SUM(P$31,P$51)),0)</f>
        <v/>
      </c>
      <c r="AV35" s="345">
        <f>IFERROR(-IPMT($P$36,W35-$F$16,$F$17,SUM($P$31,$P$51)),0)</f>
        <v/>
      </c>
      <c r="AW35" s="345">
        <f>IF(AND(W35&gt;$F$16,W35&lt;=SUM($F$16:$F$17)),$P$43,0)</f>
        <v/>
      </c>
      <c r="AX35" s="345">
        <f>IF($W35=1,$F$44,0)+IF(AND($W35&gt;0,$W35&lt;=$O$16),$F$45,0)</f>
        <v/>
      </c>
      <c r="AY35" s="345">
        <f>IF(AND(W35&gt;$F$16,W35&lt;=SUM($F$16:$F$17)),$P$54,0)</f>
        <v/>
      </c>
      <c r="AZ35" s="345">
        <f>IF(AND(SUM($AQ$16:AQ34)&gt;0,SUM($AZ$16:AZ34)&lt;$P$62,$W35&gt;=$P$65),$P$64,0)</f>
        <v/>
      </c>
      <c r="BA35" s="345">
        <f>IF(SUM($AQ$17:$AQ34)&gt;0,($P$62-SUM($AZ$17:$AZ34))*$F$65,0)</f>
        <v/>
      </c>
      <c r="BB35" s="346">
        <f>SUM(AT35:AY35)</f>
        <v/>
      </c>
      <c r="BC35" s="351">
        <f>AS35-BB35</f>
        <v/>
      </c>
      <c r="BD35" s="352">
        <f>BC35*$BF35</f>
        <v/>
      </c>
      <c r="BE35" s="393" t="n"/>
      <c r="BF35" s="46">
        <f>BF34/(1+$O$22)</f>
        <v/>
      </c>
      <c r="BH35" s="350">
        <f>AT35</f>
        <v/>
      </c>
      <c r="BI35" s="350">
        <f>AU35</f>
        <v/>
      </c>
      <c r="BJ35" s="351">
        <f>AV35</f>
        <v/>
      </c>
      <c r="BK35" s="351">
        <f>AW35</f>
        <v/>
      </c>
      <c r="BL35" s="351">
        <f>AY35</f>
        <v/>
      </c>
      <c r="BM35" s="351">
        <f>IF($W35&gt;$F$16,$F$56,0)</f>
        <v/>
      </c>
      <c r="BN35" s="352">
        <f>SUM(BH35:BM35)</f>
        <v/>
      </c>
      <c r="BO35" s="351">
        <f>IF($W35=$F$16,$P$32,0)</f>
        <v/>
      </c>
      <c r="BP35" s="351">
        <f>IF(AND(W35&gt;$F$16,W35&lt;=SUM($F$16:$F$17)),$P$41,0)</f>
        <v/>
      </c>
      <c r="BQ35" s="351">
        <f>IFERROR(-IPMT($P$67,W35-$F$16,$F$17,SUM(P$31,P$51)),0)</f>
        <v/>
      </c>
      <c r="BR35" s="351">
        <f>IF($W35&lt;=$O$16,$F$105,0)</f>
        <v/>
      </c>
      <c r="BS35" s="353">
        <f>IF($W35=1,SUM($O$103,$O$105),0)</f>
        <v/>
      </c>
      <c r="BT35" s="351">
        <f>IF($W35&lt;$O$16,IF(W35=$F$16,$P$93,$P$94),0)</f>
        <v/>
      </c>
      <c r="BU35" s="352">
        <f>SUM(BO35:BP35,BR35:BT35)</f>
        <v/>
      </c>
      <c r="BV35" s="352">
        <f>BN35-BU35</f>
        <v/>
      </c>
      <c r="BW35" s="342" t="n"/>
      <c r="BX35" s="338">
        <f>IFERROR(-PPMT($P$67,$W35-$F$16,$F$17,SUM(P$31,P$51)),0)</f>
        <v/>
      </c>
      <c r="BY35" s="356">
        <f>IF(BV35-BX35&gt;=0,0,1)</f>
        <v/>
      </c>
      <c r="CA35" s="0" t="n"/>
    </row>
    <row r="36" ht="15.75" customHeight="1" s="302">
      <c r="C36" s="2" t="inlineStr">
        <is>
          <t>民間資金調達スプレッド</t>
        </is>
      </c>
      <c r="D36" s="0" t="inlineStr">
        <is>
          <t>％</t>
        </is>
      </c>
      <c r="F36" s="361">
        <f>F70</f>
        <v/>
      </c>
      <c r="H36" s="150" t="inlineStr">
        <is>
          <t>割賦払なし</t>
        </is>
      </c>
      <c r="J36" s="4" t="n"/>
      <c r="K36" s="56" t="inlineStr">
        <is>
          <t>割賦金利</t>
        </is>
      </c>
      <c r="N36" s="19" t="inlineStr">
        <is>
          <t>％</t>
        </is>
      </c>
      <c r="O36" s="362" t="n"/>
      <c r="P36" s="36">
        <f>SUM(F35:F37)</f>
        <v/>
      </c>
      <c r="V36" s="58">
        <f>IF(W36=1,DATE(YEAR($F$18)+(MONTH($F$18)&gt;=4),4,0),EOMONTH(V35,12))</f>
        <v/>
      </c>
      <c r="W36" s="7" t="n">
        <v>20</v>
      </c>
      <c r="X36" s="282">
        <f>IF(W36&gt;$O$16,"-",IF($W36&lt;=$F$16,"整備期間","維持管理・運営期間"))</f>
        <v/>
      </c>
      <c r="Y36" s="344">
        <f>IF($W36=$F$16,$O$61,0)</f>
        <v/>
      </c>
      <c r="Z36" s="345">
        <f>IF($W36=$F$16,$O$63,0)</f>
        <v/>
      </c>
      <c r="AA36" s="345">
        <f>IF($W36=$F$16,$O$62,0)</f>
        <v/>
      </c>
      <c r="AB36" s="345">
        <f>IF(X36="維持管理・運営期間",$F$56,0)</f>
        <v/>
      </c>
      <c r="AC36" s="346">
        <f>SUM(Y36:Z36,AB36)</f>
        <v/>
      </c>
      <c r="AD36" s="344">
        <f>IF($W36=$F$16,$O$30,0)</f>
        <v/>
      </c>
      <c r="AE36" s="345">
        <f>IF($X36="維持管理・運営期間",$O$41,0)</f>
        <v/>
      </c>
      <c r="AF36" s="345">
        <f>IF(AND($W36&gt;0,$W36&lt;=$O$16),$E$45,0)</f>
        <v/>
      </c>
      <c r="AG36" s="345">
        <f>IF(AND(SUM($AA$16:AA35)&gt;0,SUM($AG$16:AG35)&lt;$O$62,$W36&gt;=$O$65),$O$64,0)</f>
        <v/>
      </c>
      <c r="AH36" s="353">
        <f>IF(SUM($AA$17:$AA35)&gt;0,($O$62-SUM($AG$17:$AG35))*$E$65,0)</f>
        <v/>
      </c>
      <c r="AI36" s="346">
        <f>SUM(AD36:AF36)</f>
        <v/>
      </c>
      <c r="AJ36" s="351">
        <f>AC36-AI36</f>
        <v/>
      </c>
      <c r="AK36" s="338">
        <f>(SUM($P$31,$P$51)-SUM($AU$17:AU35))*$O$109</f>
        <v/>
      </c>
      <c r="AL36" s="348" t="n"/>
      <c r="AM36" s="352">
        <f>AJ36*$BF36</f>
        <v/>
      </c>
      <c r="AN36" s="349" t="n"/>
      <c r="AO36" s="350">
        <f>IF($W36=$F$16,$P$61,0)</f>
        <v/>
      </c>
      <c r="AP36" s="351">
        <f>IF($W36=$F$16,$P$63,0)</f>
        <v/>
      </c>
      <c r="AQ36" s="351">
        <f>IF($W36=$F$16,$P$62,0)</f>
        <v/>
      </c>
      <c r="AR36" s="345">
        <f>IF($W36&lt;$O$16,IF(W36=$F$16,$U$92,$U$93),0)</f>
        <v/>
      </c>
      <c r="AS36" s="346">
        <f>SUM(AO36:AP36,AR36)</f>
        <v/>
      </c>
      <c r="AT36" s="345">
        <f>IF(W36=$F$16,$P$30,0)</f>
        <v/>
      </c>
      <c r="AU36" s="345">
        <f>IFERROR(-PPMT($P$36,W36-$F$16,$F$17,SUM(P$31,P$51)),0)</f>
        <v/>
      </c>
      <c r="AV36" s="345">
        <f>IFERROR(-IPMT($P$36,W36-$F$16,$F$17,SUM($P$31,$P$51)),0)</f>
        <v/>
      </c>
      <c r="AW36" s="345">
        <f>IF(AND(W36&gt;$F$16,W36&lt;=SUM($F$16:$F$17)),$P$43,0)</f>
        <v/>
      </c>
      <c r="AX36" s="345">
        <f>IF($W36=1,$F$44,0)+IF(AND($W36&gt;0,$W36&lt;=$O$16),$F$45,0)</f>
        <v/>
      </c>
      <c r="AY36" s="345">
        <f>IF(AND(W36&gt;$F$16,W36&lt;=SUM($F$16:$F$17)),$P$54,0)</f>
        <v/>
      </c>
      <c r="AZ36" s="345">
        <f>IF(AND(SUM($AQ$16:AQ35)&gt;0,SUM($AZ$16:AZ35)&lt;$P$62,$W36&gt;=$P$65),$P$64,0)</f>
        <v/>
      </c>
      <c r="BA36" s="345">
        <f>IF(SUM($AQ$17:$AQ35)&gt;0,($P$62-SUM($AZ$17:$AZ35))*$F$65,0)</f>
        <v/>
      </c>
      <c r="BB36" s="346">
        <f>SUM(AT36:AY36)</f>
        <v/>
      </c>
      <c r="BC36" s="351">
        <f>AS36-BB36</f>
        <v/>
      </c>
      <c r="BD36" s="352">
        <f>BC36*$BF36</f>
        <v/>
      </c>
      <c r="BE36" s="393" t="n"/>
      <c r="BF36" s="46">
        <f>BF35/(1+$O$22)</f>
        <v/>
      </c>
      <c r="BH36" s="350">
        <f>AT36</f>
        <v/>
      </c>
      <c r="BI36" s="350">
        <f>AU36</f>
        <v/>
      </c>
      <c r="BJ36" s="351">
        <f>AV36</f>
        <v/>
      </c>
      <c r="BK36" s="351">
        <f>AW36</f>
        <v/>
      </c>
      <c r="BL36" s="351">
        <f>AY36</f>
        <v/>
      </c>
      <c r="BM36" s="351">
        <f>IF($W36&gt;$F$16,$F$56,0)</f>
        <v/>
      </c>
      <c r="BN36" s="352">
        <f>SUM(BH36:BM36)</f>
        <v/>
      </c>
      <c r="BO36" s="351">
        <f>IF($W36=$F$16,$P$32,0)</f>
        <v/>
      </c>
      <c r="BP36" s="351">
        <f>IF(AND(W36&gt;$F$16,W36&lt;=SUM($F$16:$F$17)),$P$41,0)</f>
        <v/>
      </c>
      <c r="BQ36" s="351">
        <f>IFERROR(-IPMT($P$67,W36-$F$16,$F$17,SUM(P$31,P$51)),0)</f>
        <v/>
      </c>
      <c r="BR36" s="351">
        <f>IF($W36&lt;=$O$16,$F$105,0)</f>
        <v/>
      </c>
      <c r="BS36" s="353">
        <f>IF($W36=1,SUM($O$103,$O$105),0)</f>
        <v/>
      </c>
      <c r="BT36" s="351">
        <f>IF($W36&lt;$O$16,IF(W36=$F$16,$P$93,$P$94),0)</f>
        <v/>
      </c>
      <c r="BU36" s="352">
        <f>SUM(BO36:BP36,BR36:BT36)</f>
        <v/>
      </c>
      <c r="BV36" s="352">
        <f>BN36-BU36</f>
        <v/>
      </c>
      <c r="BW36" s="342" t="n"/>
      <c r="BX36" s="338">
        <f>IFERROR(-PPMT($P$67,$W36-$F$16,$F$17,SUM(P$31,P$51)),0)</f>
        <v/>
      </c>
      <c r="BY36" s="356">
        <f>IF(BV36-BX36&gt;=0,0,1)</f>
        <v/>
      </c>
      <c r="CA36" s="0" t="n"/>
    </row>
    <row r="37" ht="15.75" customHeight="1" s="302">
      <c r="C37" s="2" t="inlineStr">
        <is>
          <t>スプレッド</t>
        </is>
      </c>
      <c r="D37" s="0" t="inlineStr">
        <is>
          <t>％</t>
        </is>
      </c>
      <c r="F37" s="108" t="n">
        <v>0</v>
      </c>
      <c r="H37" s="150" t="inlineStr">
        <is>
          <t>割賦払なし</t>
        </is>
      </c>
      <c r="V37" s="58">
        <f>IF(W37=1,DATE(YEAR($F$18)+(MONTH($F$18)&gt;=4),4,0),EOMONTH(V36,12))</f>
        <v/>
      </c>
      <c r="W37" s="7" t="n">
        <v>21</v>
      </c>
      <c r="X37" s="282">
        <f>IF(W37&gt;$O$16,"-",IF($W37&lt;=$F$16,"整備期間","維持管理・運営期間"))</f>
        <v/>
      </c>
      <c r="Y37" s="344">
        <f>IF($W37=$F$16,$O$61,0)</f>
        <v/>
      </c>
      <c r="Z37" s="345">
        <f>IF($W37=$F$16,$O$63,0)</f>
        <v/>
      </c>
      <c r="AA37" s="345">
        <f>IF($W37=$F$16,$O$62,0)</f>
        <v/>
      </c>
      <c r="AB37" s="345">
        <f>IF(X37="維持管理・運営期間",$F$56,0)</f>
        <v/>
      </c>
      <c r="AC37" s="346">
        <f>SUM(Y37:Z37,AB37)</f>
        <v/>
      </c>
      <c r="AD37" s="344">
        <f>IF($W37=$F$16,$O$30,0)</f>
        <v/>
      </c>
      <c r="AE37" s="345">
        <f>IF($X37="維持管理・運営期間",$O$41,0)</f>
        <v/>
      </c>
      <c r="AF37" s="345">
        <f>IF(AND($W37&gt;0,$W37&lt;=$O$16),$E$45,0)</f>
        <v/>
      </c>
      <c r="AG37" s="345">
        <f>IF(AND(SUM($AA$16:AA36)&gt;0,SUM($AG$16:AG36)&lt;$O$62,$W37&gt;=$O$65),$O$64,0)</f>
        <v/>
      </c>
      <c r="AH37" s="353">
        <f>IF(SUM($AA$17:$AA36)&gt;0,($O$62-SUM($AG$17:$AG36))*$E$65,0)</f>
        <v/>
      </c>
      <c r="AI37" s="346">
        <f>SUM(AD37:AF37)</f>
        <v/>
      </c>
      <c r="AJ37" s="351">
        <f>AC37-AI37</f>
        <v/>
      </c>
      <c r="AK37" s="338">
        <f>(SUM($P$31,$P$51)-SUM($AU$17:AU36))*$O$109</f>
        <v/>
      </c>
      <c r="AL37" s="348" t="n"/>
      <c r="AM37" s="352">
        <f>AJ37*$BF37</f>
        <v/>
      </c>
      <c r="AN37" s="349" t="n"/>
      <c r="AO37" s="350">
        <f>IF($W37=$F$16,$P$61,0)</f>
        <v/>
      </c>
      <c r="AP37" s="351">
        <f>IF($W37=$F$16,$P$63,0)</f>
        <v/>
      </c>
      <c r="AQ37" s="351">
        <f>IF($W37=$F$16,$P$62,0)</f>
        <v/>
      </c>
      <c r="AR37" s="345">
        <f>IF($W37&lt;$O$16,IF(W37=$F$16,$U$92,$U$93),0)</f>
        <v/>
      </c>
      <c r="AS37" s="346">
        <f>SUM(AO37:AP37,AR37)</f>
        <v/>
      </c>
      <c r="AT37" s="345">
        <f>IF(W37=$F$16,$P$30,0)</f>
        <v/>
      </c>
      <c r="AU37" s="345">
        <f>IFERROR(-PPMT($P$36,W37-$F$16,$F$17,SUM(P$31,P$51)),0)</f>
        <v/>
      </c>
      <c r="AV37" s="345">
        <f>IFERROR(-IPMT($P$36,W37-$F$16,$F$17,SUM($P$31,$P$51)),0)</f>
        <v/>
      </c>
      <c r="AW37" s="345">
        <f>IF(AND(W37&gt;$F$16,W37&lt;=SUM($F$16:$F$17)),$P$43,0)</f>
        <v/>
      </c>
      <c r="AX37" s="345">
        <f>IF($W37=1,$F$44,0)+IF(AND($W37&gt;0,$W37&lt;=$O$16),$F$45,0)</f>
        <v/>
      </c>
      <c r="AY37" s="345">
        <f>IF(AND(W37&gt;$F$16,W37&lt;=SUM($F$16:$F$17)),$P$54,0)</f>
        <v/>
      </c>
      <c r="AZ37" s="345">
        <f>IF(AND(SUM($AQ$16:AQ36)&gt;0,SUM($AZ$16:AZ36)&lt;$P$62,$W37&gt;=$P$65),$P$64,0)</f>
        <v/>
      </c>
      <c r="BA37" s="345">
        <f>IF(SUM($AQ$17:$AQ36)&gt;0,($P$62-SUM($AZ$17:$AZ36))*$F$65,0)</f>
        <v/>
      </c>
      <c r="BB37" s="346">
        <f>SUM(AT37:AY37)</f>
        <v/>
      </c>
      <c r="BC37" s="351">
        <f>AS37-BB37</f>
        <v/>
      </c>
      <c r="BD37" s="352">
        <f>BC37*$BF37</f>
        <v/>
      </c>
      <c r="BE37" s="393" t="n"/>
      <c r="BF37" s="46">
        <f>BF36/(1+$O$22)</f>
        <v/>
      </c>
      <c r="BH37" s="350">
        <f>AT37</f>
        <v/>
      </c>
      <c r="BI37" s="350">
        <f>AU37</f>
        <v/>
      </c>
      <c r="BJ37" s="351">
        <f>AV37</f>
        <v/>
      </c>
      <c r="BK37" s="351">
        <f>AW37</f>
        <v/>
      </c>
      <c r="BL37" s="351">
        <f>AY37</f>
        <v/>
      </c>
      <c r="BM37" s="351">
        <f>IF($W37&gt;$F$16,$F$56,0)</f>
        <v/>
      </c>
      <c r="BN37" s="352">
        <f>SUM(BH37:BM37)</f>
        <v/>
      </c>
      <c r="BO37" s="351">
        <f>IF($W37=$F$16,$P$32,0)</f>
        <v/>
      </c>
      <c r="BP37" s="351">
        <f>IF(AND(W37&gt;$F$16,W37&lt;=SUM($F$16:$F$17)),$P$41,0)</f>
        <v/>
      </c>
      <c r="BQ37" s="351">
        <f>IFERROR(-IPMT($P$67,W37-$F$16,$F$17,SUM(P$31,P$51)),0)</f>
        <v/>
      </c>
      <c r="BR37" s="351">
        <f>IF($W37&lt;=$O$16,$F$105,0)</f>
        <v/>
      </c>
      <c r="BS37" s="353">
        <f>IF($W37=1,SUM($O$103,$O$105),0)</f>
        <v/>
      </c>
      <c r="BT37" s="351">
        <f>IF($W37&lt;$O$16,IF(W37=$F$16,$P$93,$P$94),0)</f>
        <v/>
      </c>
      <c r="BU37" s="352">
        <f>SUM(BO37:BP37,BR37:BT37)</f>
        <v/>
      </c>
      <c r="BV37" s="352">
        <f>BN37-BU37</f>
        <v/>
      </c>
      <c r="BW37" s="342" t="n"/>
      <c r="BX37" s="338">
        <f>IFERROR(-PPMT($P$67,$W37-$F$16,$F$17,SUM(P$31,P$51)),0)</f>
        <v/>
      </c>
      <c r="BY37" s="356">
        <f>IF(BV37-BX37&gt;=0,0,1)</f>
        <v/>
      </c>
      <c r="CA37" s="0" t="n"/>
    </row>
    <row r="38" ht="15.75" customHeight="1" s="302">
      <c r="C38" s="99" t="n"/>
      <c r="D38" s="101" t="inlineStr">
        <is>
          <t>Checks:割賦＞SPC収支</t>
        </is>
      </c>
      <c r="E38" s="100" t="n"/>
      <c r="F38" s="363">
        <f>BY15</f>
        <v/>
      </c>
      <c r="V38" s="58">
        <f>IF(W38=1,DATE(YEAR($F$18)+(MONTH($F$18)&gt;=4),4,0),EOMONTH(V37,12))</f>
        <v/>
      </c>
      <c r="W38" s="7" t="n">
        <v>22</v>
      </c>
      <c r="X38" s="282">
        <f>IF(W38&gt;$O$16,"-",IF($W38&lt;=$F$16,"整備期間","維持管理・運営期間"))</f>
        <v/>
      </c>
      <c r="Y38" s="344">
        <f>IF($W38=$F$16,$O$61,0)</f>
        <v/>
      </c>
      <c r="Z38" s="345">
        <f>IF($W38=$F$16,$O$63,0)</f>
        <v/>
      </c>
      <c r="AA38" s="345">
        <f>IF($W38=$F$16,$O$62,0)</f>
        <v/>
      </c>
      <c r="AB38" s="345">
        <f>IF(X38="維持管理・運営期間",$F$56,0)</f>
        <v/>
      </c>
      <c r="AC38" s="346">
        <f>SUM(Y38:Z38,AB38)</f>
        <v/>
      </c>
      <c r="AD38" s="344">
        <f>IF($W38=$F$16,$O$30,0)</f>
        <v/>
      </c>
      <c r="AE38" s="345">
        <f>IF($X38="維持管理・運営期間",$O$41,0)</f>
        <v/>
      </c>
      <c r="AF38" s="345">
        <f>IF(AND($W38&gt;0,$W38&lt;=$O$16),$E$45,0)</f>
        <v/>
      </c>
      <c r="AG38" s="345">
        <f>IF(AND(SUM($AA$16:AA37)&gt;0,SUM($AG$16:AG37)&lt;$O$62,$W38&gt;=$O$65),$O$64,0)</f>
        <v/>
      </c>
      <c r="AH38" s="353">
        <f>IF(SUM($AA$17:$AA37)&gt;0,($O$62-SUM($AG$17:$AG37))*$E$65,0)</f>
        <v/>
      </c>
      <c r="AI38" s="346">
        <f>SUM(AD38:AF38)</f>
        <v/>
      </c>
      <c r="AJ38" s="351">
        <f>AC38-AI38</f>
        <v/>
      </c>
      <c r="AK38" s="338">
        <f>(SUM($P$31,$P$51)-SUM($AU$17:AU37))*$O$109</f>
        <v/>
      </c>
      <c r="AL38" s="348" t="n"/>
      <c r="AM38" s="352">
        <f>AJ38*$BF38</f>
        <v/>
      </c>
      <c r="AN38" s="349" t="n"/>
      <c r="AO38" s="350">
        <f>IF($W38=$F$16,$P$61,0)</f>
        <v/>
      </c>
      <c r="AP38" s="351">
        <f>IF($W38=$F$16,$P$63,0)</f>
        <v/>
      </c>
      <c r="AQ38" s="351">
        <f>IF($W38=$F$16,$P$62,0)</f>
        <v/>
      </c>
      <c r="AR38" s="345">
        <f>IF($W38&lt;$O$16,IF(W38=$F$16,$U$92,$U$93),0)</f>
        <v/>
      </c>
      <c r="AS38" s="346">
        <f>SUM(AO38:AP38,AR38)</f>
        <v/>
      </c>
      <c r="AT38" s="345">
        <f>IF(W38=$F$16,$P$30,0)</f>
        <v/>
      </c>
      <c r="AU38" s="345">
        <f>IFERROR(-PPMT($P$36,W38-$F$16,$F$17,SUM(P$31,P$51)),0)</f>
        <v/>
      </c>
      <c r="AV38" s="345">
        <f>IFERROR(-IPMT($P$36,W38-$F$16,$F$17,SUM($P$31,$P$51)),0)</f>
        <v/>
      </c>
      <c r="AW38" s="345">
        <f>IF(AND(W38&gt;$F$16,W38&lt;=SUM($F$16:$F$17)),$P$43,0)</f>
        <v/>
      </c>
      <c r="AX38" s="345">
        <f>IF($W38=1,$F$44,0)+IF(AND($W38&gt;0,$W38&lt;=$O$16),$F$45,0)</f>
        <v/>
      </c>
      <c r="AY38" s="345">
        <f>IF(AND(W38&gt;$F$16,W38&lt;=SUM($F$16:$F$17)),$P$54,0)</f>
        <v/>
      </c>
      <c r="AZ38" s="345">
        <f>IF(AND(SUM($AQ$16:AQ37)&gt;0,SUM($AZ$16:AZ37)&lt;$P$62,$W38&gt;=$P$65),$P$64,0)</f>
        <v/>
      </c>
      <c r="BA38" s="345">
        <f>IF(SUM($AQ$17:$AQ37)&gt;0,($P$62-SUM($AZ$17:$AZ37))*$F$65,0)</f>
        <v/>
      </c>
      <c r="BB38" s="346">
        <f>SUM(AT38:AY38)</f>
        <v/>
      </c>
      <c r="BC38" s="351">
        <f>AS38-BB38</f>
        <v/>
      </c>
      <c r="BD38" s="352">
        <f>BC38*$BF38</f>
        <v/>
      </c>
      <c r="BE38" s="393" t="n"/>
      <c r="BF38" s="46">
        <f>BF37/(1+$O$22)</f>
        <v/>
      </c>
      <c r="BH38" s="350">
        <f>AT38</f>
        <v/>
      </c>
      <c r="BI38" s="350">
        <f>AU38</f>
        <v/>
      </c>
      <c r="BJ38" s="351">
        <f>AV38</f>
        <v/>
      </c>
      <c r="BK38" s="351">
        <f>AW38</f>
        <v/>
      </c>
      <c r="BL38" s="351">
        <f>AY38</f>
        <v/>
      </c>
      <c r="BM38" s="351">
        <f>IF($W38&gt;$F$16,$F$56,0)</f>
        <v/>
      </c>
      <c r="BN38" s="352">
        <f>SUM(BH38:BM38)</f>
        <v/>
      </c>
      <c r="BO38" s="351">
        <f>IF($W38=$F$16,$P$32,0)</f>
        <v/>
      </c>
      <c r="BP38" s="351">
        <f>IF(AND(W38&gt;$F$16,W38&lt;=SUM($F$16:$F$17)),$P$41,0)</f>
        <v/>
      </c>
      <c r="BQ38" s="351">
        <f>IFERROR(-IPMT($P$67,W38-$F$16,$F$17,SUM(P$31,P$51)),0)</f>
        <v/>
      </c>
      <c r="BR38" s="351">
        <f>IF($W38&lt;=$O$16,$F$105,0)</f>
        <v/>
      </c>
      <c r="BS38" s="353">
        <f>IF($W38=1,SUM($O$103,$O$105),0)</f>
        <v/>
      </c>
      <c r="BT38" s="351">
        <f>IF($W38&lt;$O$16,IF(W38=$F$16,$P$93,$P$94),0)</f>
        <v/>
      </c>
      <c r="BU38" s="352">
        <f>SUM(BO38:BP38,BR38:BT38)</f>
        <v/>
      </c>
      <c r="BV38" s="352">
        <f>BN38-BU38</f>
        <v/>
      </c>
      <c r="BW38" s="342" t="n"/>
      <c r="BX38" s="338">
        <f>IFERROR(-PPMT($P$67,$W38-$F$16,$F$17,SUM(P$31,P$51)),0)</f>
        <v/>
      </c>
      <c r="BY38" s="356">
        <f>IF(BV38-BX38&gt;=0,0,1)</f>
        <v/>
      </c>
      <c r="CA38" s="0" t="n"/>
    </row>
    <row r="39" ht="15.75" customHeight="1" s="302">
      <c r="V39" s="58">
        <f>IF(W39=1,DATE(YEAR($F$18)+(MONTH($F$18)&gt;=4),4,0),EOMONTH(V38,12))</f>
        <v/>
      </c>
      <c r="W39" s="7" t="n">
        <v>23</v>
      </c>
      <c r="X39" s="282">
        <f>IF(W39&gt;$O$16,"-",IF($W39&lt;=$F$16,"整備期間","維持管理・運営期間"))</f>
        <v/>
      </c>
      <c r="Y39" s="344">
        <f>IF($W39=$F$16,$O$61,0)</f>
        <v/>
      </c>
      <c r="Z39" s="345">
        <f>IF($W39=$F$16,$O$63,0)</f>
        <v/>
      </c>
      <c r="AA39" s="345">
        <f>IF($W39=$F$16,$O$62,0)</f>
        <v/>
      </c>
      <c r="AB39" s="345">
        <f>IF(X39="維持管理・運営期間",$F$56,0)</f>
        <v/>
      </c>
      <c r="AC39" s="346">
        <f>SUM(Y39:Z39,AB39)</f>
        <v/>
      </c>
      <c r="AD39" s="344">
        <f>IF($W39=$F$16,$O$30,0)</f>
        <v/>
      </c>
      <c r="AE39" s="345">
        <f>IF($X39="維持管理・運営期間",$O$41,0)</f>
        <v/>
      </c>
      <c r="AF39" s="345">
        <f>IF(AND($W39&gt;0,$W39&lt;=$O$16),$E$45,0)</f>
        <v/>
      </c>
      <c r="AG39" s="345">
        <f>IF(AND(SUM($AA$16:AA38)&gt;0,SUM($AG$16:AG38)&lt;$O$62,$W39&gt;=$O$65),$O$64,0)</f>
        <v/>
      </c>
      <c r="AH39" s="353">
        <f>IF(SUM($AA$17:$AA38)&gt;0,($O$62-SUM($AG$17:$AG38))*$E$65,0)</f>
        <v/>
      </c>
      <c r="AI39" s="346">
        <f>SUM(AD39:AF39)</f>
        <v/>
      </c>
      <c r="AJ39" s="351">
        <f>AC39-AI39</f>
        <v/>
      </c>
      <c r="AK39" s="338">
        <f>(SUM($P$31,$P$51)-SUM($AU$17:AU38))*$O$109</f>
        <v/>
      </c>
      <c r="AL39" s="348" t="n"/>
      <c r="AM39" s="352">
        <f>AJ39*$BF39</f>
        <v/>
      </c>
      <c r="AN39" s="349" t="n"/>
      <c r="AO39" s="350">
        <f>IF($W39=$F$16,$P$61,0)</f>
        <v/>
      </c>
      <c r="AP39" s="351">
        <f>IF($W39=$F$16,$P$63,0)</f>
        <v/>
      </c>
      <c r="AQ39" s="351">
        <f>IF($W39=$F$16,$P$62,0)</f>
        <v/>
      </c>
      <c r="AR39" s="345">
        <f>IF($W39&lt;$O$16,IF(W39=$F$16,$U$92,$U$93),0)</f>
        <v/>
      </c>
      <c r="AS39" s="346">
        <f>SUM(AO39:AP39,AR39)</f>
        <v/>
      </c>
      <c r="AT39" s="345">
        <f>IF(W39=$F$16,$P$30,0)</f>
        <v/>
      </c>
      <c r="AU39" s="345">
        <f>IFERROR(-PPMT($P$36,W39-$F$16,$F$17,SUM(P$31,P$51)),0)</f>
        <v/>
      </c>
      <c r="AV39" s="345">
        <f>IFERROR(-IPMT($P$36,W39-$F$16,$F$17,SUM($P$31,$P$51)),0)</f>
        <v/>
      </c>
      <c r="AW39" s="345">
        <f>IF(AND(W39&gt;$F$16,W39&lt;=SUM($F$16:$F$17)),$P$43,0)</f>
        <v/>
      </c>
      <c r="AX39" s="345">
        <f>IF($W39=1,$F$44,0)+IF(AND($W39&gt;0,$W39&lt;=$O$16),$F$45,0)</f>
        <v/>
      </c>
      <c r="AY39" s="345">
        <f>IF(AND(W39&gt;$F$16,W39&lt;=SUM($F$16:$F$17)),$P$54,0)</f>
        <v/>
      </c>
      <c r="AZ39" s="345">
        <f>IF(AND(SUM($AQ$16:AQ38)&gt;0,SUM($AZ$16:AZ38)&lt;$P$62,$W39&gt;=$P$65),$P$64,0)</f>
        <v/>
      </c>
      <c r="BA39" s="345">
        <f>IF(SUM($AQ$17:$AQ38)&gt;0,($P$62-SUM($AZ$17:$AZ38))*$F$65,0)</f>
        <v/>
      </c>
      <c r="BB39" s="346">
        <f>SUM(AT39:AY39)</f>
        <v/>
      </c>
      <c r="BC39" s="351">
        <f>AS39-BB39</f>
        <v/>
      </c>
      <c r="BD39" s="352">
        <f>BC39*$BF39</f>
        <v/>
      </c>
      <c r="BE39" s="393" t="n"/>
      <c r="BF39" s="46">
        <f>BF38/(1+$O$22)</f>
        <v/>
      </c>
      <c r="BH39" s="350">
        <f>AT39</f>
        <v/>
      </c>
      <c r="BI39" s="350">
        <f>AU39</f>
        <v/>
      </c>
      <c r="BJ39" s="351">
        <f>AV39</f>
        <v/>
      </c>
      <c r="BK39" s="351">
        <f>AW39</f>
        <v/>
      </c>
      <c r="BL39" s="351">
        <f>AY39</f>
        <v/>
      </c>
      <c r="BM39" s="351">
        <f>IF($W39&gt;$F$16,$F$56,0)</f>
        <v/>
      </c>
      <c r="BN39" s="352">
        <f>SUM(BH39:BM39)</f>
        <v/>
      </c>
      <c r="BO39" s="351">
        <f>IF($W39=$F$16,$P$32,0)</f>
        <v/>
      </c>
      <c r="BP39" s="351">
        <f>IF(AND(W39&gt;$F$16,W39&lt;=SUM($F$16:$F$17)),$P$41,0)</f>
        <v/>
      </c>
      <c r="BQ39" s="351">
        <f>IFERROR(-IPMT($P$67,W39-$F$16,$F$17,SUM(P$31,P$51)),0)</f>
        <v/>
      </c>
      <c r="BR39" s="351">
        <f>IF($W39&lt;=$O$16,$F$105,0)</f>
        <v/>
      </c>
      <c r="BS39" s="353">
        <f>IF($W39=1,SUM($O$103,$O$105),0)</f>
        <v/>
      </c>
      <c r="BT39" s="351">
        <f>IF($W39&lt;$O$16,IF(W39=$F$16,$P$93,$P$94),0)</f>
        <v/>
      </c>
      <c r="BU39" s="352">
        <f>SUM(BO39:BP39,BR39:BT39)</f>
        <v/>
      </c>
      <c r="BV39" s="352">
        <f>BN39-BU39</f>
        <v/>
      </c>
      <c r="BW39" s="342" t="n"/>
      <c r="BX39" s="338">
        <f>IFERROR(-PPMT($P$67,$W39-$F$16,$F$17,SUM(P$31,P$51)),0)</f>
        <v/>
      </c>
      <c r="BY39" s="356">
        <f>IF(BV39-BX39&gt;=0,0,1)</f>
        <v/>
      </c>
      <c r="CA39" s="0" t="n"/>
    </row>
    <row r="40" ht="15.75" customHeight="1" s="302">
      <c r="B40" s="0" t="inlineStr">
        <is>
          <t>2.3維持管理運営費用（年額）</t>
        </is>
      </c>
      <c r="D40" s="0" t="inlineStr">
        <is>
          <t>百万円</t>
        </is>
      </c>
      <c r="F40" s="394">
        <f>SUM(F41:F42)</f>
        <v/>
      </c>
      <c r="J40" s="4" t="inlineStr">
        <is>
          <t>2.3 維持管理運営費用（年額）</t>
        </is>
      </c>
      <c r="V40" s="58">
        <f>IF(W40=1,DATE(YEAR($F$18)+(MONTH($F$18)&gt;=4),4,0),EOMONTH(V39,12))</f>
        <v/>
      </c>
      <c r="W40" s="26" t="n">
        <v>24</v>
      </c>
      <c r="X40" s="282">
        <f>IF(W40&gt;$O$16,"-",IF($W40&lt;=$F$16,"整備期間","維持管理・運営期間"))</f>
        <v/>
      </c>
      <c r="Y40" s="344">
        <f>IF($W40=$F$16,$O$61,0)</f>
        <v/>
      </c>
      <c r="Z40" s="345">
        <f>IF($W40=$F$16,$O$63,0)</f>
        <v/>
      </c>
      <c r="AA40" s="345">
        <f>IF($W40=$F$16,$O$62,0)</f>
        <v/>
      </c>
      <c r="AB40" s="345">
        <f>IF(X40="維持管理・運営期間",$F$56,0)</f>
        <v/>
      </c>
      <c r="AC40" s="346">
        <f>SUM(Y40:Z40,AB40)</f>
        <v/>
      </c>
      <c r="AD40" s="344">
        <f>IF($W40=$F$16,$O$30,0)</f>
        <v/>
      </c>
      <c r="AE40" s="345">
        <f>IF($X40="維持管理・運営期間",$O$41,0)</f>
        <v/>
      </c>
      <c r="AF40" s="345">
        <f>IF(AND($W40&gt;0,$W40&lt;=$O$16),$E$45,0)</f>
        <v/>
      </c>
      <c r="AG40" s="345">
        <f>IF(AND(SUM($AA$16:AA39)&gt;0,SUM($AG$16:AG39)&lt;$O$62,$W40&gt;=$O$65),$O$64,0)</f>
        <v/>
      </c>
      <c r="AH40" s="353">
        <f>IF(SUM($AA$17:$AA39)&gt;0,($O$62-SUM($AG$17:$AG39))*$E$65,0)</f>
        <v/>
      </c>
      <c r="AI40" s="346">
        <f>SUM(AD40:AF40)</f>
        <v/>
      </c>
      <c r="AJ40" s="351">
        <f>AC40-AI40</f>
        <v/>
      </c>
      <c r="AK40" s="338">
        <f>(SUM($P$31,$P$51)-SUM($AU$17:AU39))*$O$109</f>
        <v/>
      </c>
      <c r="AL40" s="348" t="n"/>
      <c r="AM40" s="352">
        <f>AJ40*$BF40</f>
        <v/>
      </c>
      <c r="AN40" s="349" t="n"/>
      <c r="AO40" s="350">
        <f>IF($W40=$F$16,$P$61,0)</f>
        <v/>
      </c>
      <c r="AP40" s="351">
        <f>IF($W40=$F$16,$P$63,0)</f>
        <v/>
      </c>
      <c r="AQ40" s="351">
        <f>IF($W40=$F$16,$P$62,0)</f>
        <v/>
      </c>
      <c r="AR40" s="345">
        <f>IF($W40&lt;$O$16,IF(W40=$F$16,$U$92,$U$93),0)</f>
        <v/>
      </c>
      <c r="AS40" s="346">
        <f>SUM(AO40:AP40,AR40)</f>
        <v/>
      </c>
      <c r="AT40" s="345">
        <f>IF(W40=$F$16,$P$30,0)</f>
        <v/>
      </c>
      <c r="AU40" s="345">
        <f>IFERROR(-PPMT($P$36,W40-$F$16,$F$17,SUM(P$31,P$51)),0)</f>
        <v/>
      </c>
      <c r="AV40" s="345">
        <f>IFERROR(-IPMT($P$36,W40-$F$16,$F$17,SUM($P$31,$P$51)),0)</f>
        <v/>
      </c>
      <c r="AW40" s="345">
        <f>IF(AND(W40&gt;$F$16,W40&lt;=SUM($F$16:$F$17)),$P$43,0)</f>
        <v/>
      </c>
      <c r="AX40" s="345">
        <f>IF($W40=1,$F$44,0)+IF(AND($W40&gt;0,$W40&lt;=$O$16),$F$45,0)</f>
        <v/>
      </c>
      <c r="AY40" s="345">
        <f>IF(AND(W40&gt;$F$16,W40&lt;=SUM($F$16:$F$17)),$P$54,0)</f>
        <v/>
      </c>
      <c r="AZ40" s="345">
        <f>IF(AND(SUM($AQ$16:AQ39)&gt;0,SUM($AZ$16:AZ39)&lt;$P$62,$W40&gt;=$P$65),$P$64,0)</f>
        <v/>
      </c>
      <c r="BA40" s="345">
        <f>IF(SUM($AQ$17:$AQ39)&gt;0,($P$62-SUM($AZ$17:$AZ39))*$F$65,0)</f>
        <v/>
      </c>
      <c r="BB40" s="346">
        <f>SUM(AT40:AY40)</f>
        <v/>
      </c>
      <c r="BC40" s="351">
        <f>AS40-BB40</f>
        <v/>
      </c>
      <c r="BD40" s="352">
        <f>BC40*$BF40</f>
        <v/>
      </c>
      <c r="BE40" s="393" t="n"/>
      <c r="BF40" s="46">
        <f>BF39/(1+$O$22)</f>
        <v/>
      </c>
      <c r="BH40" s="350">
        <f>AT40</f>
        <v/>
      </c>
      <c r="BI40" s="350">
        <f>AU40</f>
        <v/>
      </c>
      <c r="BJ40" s="351">
        <f>AV40</f>
        <v/>
      </c>
      <c r="BK40" s="351">
        <f>AW40</f>
        <v/>
      </c>
      <c r="BL40" s="351">
        <f>AY40</f>
        <v/>
      </c>
      <c r="BM40" s="351">
        <f>IF($W40&gt;$F$16,$F$56,0)</f>
        <v/>
      </c>
      <c r="BN40" s="352">
        <f>SUM(BH40:BM40)</f>
        <v/>
      </c>
      <c r="BO40" s="351">
        <f>IF($W40=$F$16,$P$32,0)</f>
        <v/>
      </c>
      <c r="BP40" s="351">
        <f>IF(AND(W40&gt;$F$16,W40&lt;=SUM($F$16:$F$17)),$P$41,0)</f>
        <v/>
      </c>
      <c r="BQ40" s="351">
        <f>IFERROR(-IPMT($P$67,W40-$F$16,$F$17,SUM(P$31,P$51)),0)</f>
        <v/>
      </c>
      <c r="BR40" s="351">
        <f>IF($W40&lt;=$O$16,$F$105,0)</f>
        <v/>
      </c>
      <c r="BS40" s="353">
        <f>IF($W40=1,SUM($O$103,$O$105),0)</f>
        <v/>
      </c>
      <c r="BT40" s="351">
        <f>IF($W40&lt;$O$16,IF(W40=$F$16,$P$93,$P$94),0)</f>
        <v/>
      </c>
      <c r="BU40" s="352">
        <f>SUM(BO40:BP40,BR40:BT40)</f>
        <v/>
      </c>
      <c r="BV40" s="352">
        <f>BN40-BU40</f>
        <v/>
      </c>
      <c r="BW40" s="342" t="n"/>
      <c r="BX40" s="338">
        <f>IFERROR(-PPMT($P$67,$W40-$F$16,$F$17,SUM(P$31,P$51)),0)</f>
        <v/>
      </c>
      <c r="BY40" s="356">
        <f>IF(BV40-BX40&gt;=0,0,1)</f>
        <v/>
      </c>
      <c r="CA40" s="0" t="n"/>
    </row>
    <row r="41" ht="15.75" customHeight="1" s="302">
      <c r="C41" s="2" t="inlineStr">
        <is>
          <t>うち、過去の落札価格を反映</t>
        </is>
      </c>
      <c r="D41" s="0" t="inlineStr">
        <is>
          <t>百万円</t>
        </is>
      </c>
      <c r="F41" s="359">
        <f>事業費用概算!G27</f>
        <v/>
      </c>
      <c r="H41" s="72" t="n"/>
      <c r="K41" s="0" t="inlineStr">
        <is>
          <t>維持管理運営費用（年額）</t>
        </is>
      </c>
      <c r="N41" s="19" t="inlineStr">
        <is>
          <t>百万円</t>
        </is>
      </c>
      <c r="O41" s="364">
        <f>F40</f>
        <v/>
      </c>
      <c r="P41" s="365">
        <f>F40*(1-F52)</f>
        <v/>
      </c>
      <c r="Q41" s="0" t="inlineStr">
        <is>
          <t>PSCは競争の効果反映、LCCは削減率を反映</t>
        </is>
      </c>
      <c r="V41" s="58">
        <f>IF(W41=1,DATE(YEAR($F$18)+(MONTH($F$18)&gt;=4),4,0),EOMONTH(V40,12))</f>
        <v/>
      </c>
      <c r="W41" s="26" t="n">
        <v>25</v>
      </c>
      <c r="X41" s="282">
        <f>IF(W41&gt;$O$16,"-",IF($W41&lt;=$F$16,"整備期間","維持管理・運営期間"))</f>
        <v/>
      </c>
      <c r="Y41" s="344">
        <f>IF($W41=$F$16,$O$61,0)</f>
        <v/>
      </c>
      <c r="Z41" s="345">
        <f>IF($W41=$F$16,$O$63,0)</f>
        <v/>
      </c>
      <c r="AA41" s="345">
        <f>IF($W41=$F$16,$O$62,0)</f>
        <v/>
      </c>
      <c r="AB41" s="345">
        <f>IF(X41="維持管理・運営期間",$F$56,0)</f>
        <v/>
      </c>
      <c r="AC41" s="346">
        <f>SUM(Y41:Z41,AB41)</f>
        <v/>
      </c>
      <c r="AD41" s="344">
        <f>IF($W41=$F$16,$O$30,0)</f>
        <v/>
      </c>
      <c r="AE41" s="345">
        <f>IF($X41="維持管理・運営期間",$O$41,0)</f>
        <v/>
      </c>
      <c r="AF41" s="345">
        <f>IF(AND($W41&gt;0,$W41&lt;=$O$16),$E$45,0)</f>
        <v/>
      </c>
      <c r="AG41" s="345">
        <f>IF(AND(SUM($AA$16:AA40)&gt;0,SUM($AG$16:AG40)&lt;$O$62,$W41&gt;=$O$65),$O$64,0)</f>
        <v/>
      </c>
      <c r="AH41" s="353">
        <f>IF(SUM($AA$17:$AA40)&gt;0,($O$62-SUM($AG$17:$AG40))*$E$65,0)</f>
        <v/>
      </c>
      <c r="AI41" s="346">
        <f>SUM(AD41:AF41)</f>
        <v/>
      </c>
      <c r="AJ41" s="351">
        <f>AC41-AI41</f>
        <v/>
      </c>
      <c r="AK41" s="338">
        <f>(SUM($P$31,$P$51)-SUM($AU$17:AU40))*$O$109</f>
        <v/>
      </c>
      <c r="AL41" s="348" t="n"/>
      <c r="AM41" s="352">
        <f>AJ41*$BF41</f>
        <v/>
      </c>
      <c r="AN41" s="349" t="n"/>
      <c r="AO41" s="350">
        <f>IF($W41=$F$16,$P$61,0)</f>
        <v/>
      </c>
      <c r="AP41" s="351">
        <f>IF($W41=$F$16,$P$63,0)</f>
        <v/>
      </c>
      <c r="AQ41" s="351">
        <f>IF($W41=$F$16,$P$62,0)</f>
        <v/>
      </c>
      <c r="AR41" s="345">
        <f>IF($W41&lt;$O$16,IF(W41=$F$16,$U$92,$U$93),0)</f>
        <v/>
      </c>
      <c r="AS41" s="346">
        <f>SUM(AO41:AP41,AR41)</f>
        <v/>
      </c>
      <c r="AT41" s="345">
        <f>IF(W41=$F$16,$P$30,0)</f>
        <v/>
      </c>
      <c r="AU41" s="345">
        <f>IFERROR(-PPMT($P$36,W41-$F$16,$F$17,SUM(P$31,P$51)),0)</f>
        <v/>
      </c>
      <c r="AV41" s="345">
        <f>IFERROR(-IPMT($P$36,W41-$F$16,$F$17,SUM($P$31,$P$51)),0)</f>
        <v/>
      </c>
      <c r="AW41" s="345">
        <f>IF(AND(W41&gt;$F$16,W41&lt;=SUM($F$16:$F$17)),$P$43,0)</f>
        <v/>
      </c>
      <c r="AX41" s="345">
        <f>IF($W41=1,$F$44,0)+IF(AND($W41&gt;0,$W41&lt;=$O$16),$F$45,0)</f>
        <v/>
      </c>
      <c r="AY41" s="345">
        <f>IF(AND(W41&gt;$F$16,W41&lt;=SUM($F$16:$F$17)),$P$54,0)</f>
        <v/>
      </c>
      <c r="AZ41" s="345">
        <f>IF(AND(SUM($AQ$16:AQ40)&gt;0,SUM($AZ$16:AZ40)&lt;$P$62,$W41&gt;=$P$65),$P$64,0)</f>
        <v/>
      </c>
      <c r="BA41" s="345">
        <f>IF(SUM($AQ$17:$AQ40)&gt;0,($P$62-SUM($AZ$17:$AZ40))*$F$65,0)</f>
        <v/>
      </c>
      <c r="BB41" s="346">
        <f>SUM(AT41:AY41)</f>
        <v/>
      </c>
      <c r="BC41" s="351">
        <f>AS41-BB41</f>
        <v/>
      </c>
      <c r="BD41" s="352">
        <f>BC41*$BF41</f>
        <v/>
      </c>
      <c r="BE41" s="393" t="n"/>
      <c r="BF41" s="46">
        <f>BF40/(1+$O$22)</f>
        <v/>
      </c>
      <c r="BH41" s="350">
        <f>AT41</f>
        <v/>
      </c>
      <c r="BI41" s="350">
        <f>AU41</f>
        <v/>
      </c>
      <c r="BJ41" s="351">
        <f>AV41</f>
        <v/>
      </c>
      <c r="BK41" s="351">
        <f>AW41</f>
        <v/>
      </c>
      <c r="BL41" s="351">
        <f>AY41</f>
        <v/>
      </c>
      <c r="BM41" s="351">
        <f>IF($W41&gt;$F$16,$F$56,0)</f>
        <v/>
      </c>
      <c r="BN41" s="352">
        <f>SUM(BH41:BM41)</f>
        <v/>
      </c>
      <c r="BO41" s="351">
        <f>IF($W41=$F$16,$P$32,0)</f>
        <v/>
      </c>
      <c r="BP41" s="351">
        <f>IF(AND(W41&gt;$F$16,W41&lt;=SUM($F$16:$F$17)),$P$41,0)</f>
        <v/>
      </c>
      <c r="BQ41" s="351">
        <f>IFERROR(-IPMT($P$67,W41-$F$16,$F$17,SUM(P$31,P$51)),0)</f>
        <v/>
      </c>
      <c r="BR41" s="351">
        <f>IF($W41&lt;=$O$16,$F$105,0)</f>
        <v/>
      </c>
      <c r="BS41" s="353">
        <f>IF($W41=1,SUM($O$103,$O$105),0)</f>
        <v/>
      </c>
      <c r="BT41" s="351">
        <f>IF($W41&lt;$O$16,IF(W41=$F$16,$P$93,$P$94),0)</f>
        <v/>
      </c>
      <c r="BU41" s="352">
        <f>SUM(BO41:BP41,BR41:BT41)</f>
        <v/>
      </c>
      <c r="BV41" s="352">
        <f>BN41-BU41</f>
        <v/>
      </c>
      <c r="BW41" s="342" t="n"/>
      <c r="BX41" s="338">
        <f>IFERROR(-PPMT($P$67,$W41-$F$16,$F$17,SUM(P$31,P$51)),0)</f>
        <v/>
      </c>
      <c r="BY41" s="356">
        <f>IF(BV41-BX41&gt;=0,0,1)</f>
        <v/>
      </c>
      <c r="CA41" s="0" t="n"/>
    </row>
    <row r="42" ht="15.75" customHeight="1" s="302">
      <c r="C42" s="2" t="inlineStr">
        <is>
          <t>うち、予定価格を反映</t>
        </is>
      </c>
      <c r="D42" s="0" t="inlineStr">
        <is>
          <t>百万円</t>
        </is>
      </c>
      <c r="F42" s="359">
        <f>事業費用概算!G28</f>
        <v/>
      </c>
      <c r="K42" s="0" t="inlineStr">
        <is>
          <t>利用料金収入</t>
        </is>
      </c>
      <c r="N42" s="19" t="inlineStr">
        <is>
          <t>百万円</t>
        </is>
      </c>
      <c r="O42" s="362" t="n"/>
      <c r="P42" s="365">
        <f>F56</f>
        <v/>
      </c>
      <c r="Q42" s="0" t="inlineStr">
        <is>
          <t>サービス購入費から控除</t>
        </is>
      </c>
      <c r="V42" s="58">
        <f>IF(W42=1,DATE(YEAR($F$18)+(MONTH($F$18)&gt;=4),4,0),EOMONTH(V41,12))</f>
        <v/>
      </c>
      <c r="W42" s="26" t="n">
        <v>26</v>
      </c>
      <c r="X42" s="282">
        <f>IF(W42&gt;$O$16,"-",IF($W42&lt;=$F$16,"整備期間","維持管理・運営期間"))</f>
        <v/>
      </c>
      <c r="Y42" s="344">
        <f>IF($W42=$F$16,$O$61,0)</f>
        <v/>
      </c>
      <c r="Z42" s="345">
        <f>IF($W42=$F$16,$O$63,0)</f>
        <v/>
      </c>
      <c r="AA42" s="345">
        <f>IF($W42=$F$16,$O$62,0)</f>
        <v/>
      </c>
      <c r="AB42" s="345">
        <f>IF(X42="維持管理・運営期間",$F$56,0)</f>
        <v/>
      </c>
      <c r="AC42" s="346">
        <f>SUM(Y42:Z42,AB42)</f>
        <v/>
      </c>
      <c r="AD42" s="344">
        <f>IF($W42=$F$16,$O$30,0)</f>
        <v/>
      </c>
      <c r="AE42" s="345">
        <f>IF($X42="維持管理・運営期間",$O$41,0)</f>
        <v/>
      </c>
      <c r="AF42" s="345">
        <f>IF(AND($W42&gt;0,$W42&lt;=$O$16),$E$45,0)</f>
        <v/>
      </c>
      <c r="AG42" s="345">
        <f>IF(AND(SUM($AA$16:AA41)&gt;0,SUM($AG$16:AG41)&lt;$O$62,$W42&gt;=$O$65),$O$64,0)</f>
        <v/>
      </c>
      <c r="AH42" s="353">
        <f>IF(SUM($AA$17:$AA41)&gt;0,($O$62-SUM($AG$17:$AG41))*$E$65,0)</f>
        <v/>
      </c>
      <c r="AI42" s="346">
        <f>SUM(AD42:AF42)</f>
        <v/>
      </c>
      <c r="AJ42" s="351">
        <f>AC42-AI42</f>
        <v/>
      </c>
      <c r="AK42" s="338">
        <f>(SUM($P$31,$P$51)-SUM($AU$17:AU41))*$O$109</f>
        <v/>
      </c>
      <c r="AL42" s="348" t="n"/>
      <c r="AM42" s="352">
        <f>AJ42*$BF42</f>
        <v/>
      </c>
      <c r="AN42" s="349" t="n"/>
      <c r="AO42" s="350">
        <f>IF($W42=$F$16,$P$61,0)</f>
        <v/>
      </c>
      <c r="AP42" s="351">
        <f>IF($W42=$F$16,$P$63,0)</f>
        <v/>
      </c>
      <c r="AQ42" s="351">
        <f>IF($W42=$F$16,$P$62,0)</f>
        <v/>
      </c>
      <c r="AR42" s="345">
        <f>IF($W42&lt;$O$16,IF(W42=$F$16,$U$92,$U$93),0)</f>
        <v/>
      </c>
      <c r="AS42" s="346">
        <f>SUM(AO42:AP42,AR42)</f>
        <v/>
      </c>
      <c r="AT42" s="345">
        <f>IF(W42=$F$16,$P$30,0)</f>
        <v/>
      </c>
      <c r="AU42" s="345">
        <f>IFERROR(-PPMT($P$36,W42-$F$16,$F$17,SUM(P$31,P$51)),0)</f>
        <v/>
      </c>
      <c r="AV42" s="345">
        <f>IFERROR(-IPMT($P$36,W42-$F$16,$F$17,SUM($P$31,$P$51)),0)</f>
        <v/>
      </c>
      <c r="AW42" s="345">
        <f>IF(AND(W42&gt;$F$16,W42&lt;=SUM($F$16:$F$17)),$P$43,0)</f>
        <v/>
      </c>
      <c r="AX42" s="345">
        <f>IF($W42=1,$F$44,0)+IF(AND($W42&gt;0,$W42&lt;=$O$16),$F$45,0)</f>
        <v/>
      </c>
      <c r="AY42" s="345">
        <f>IF(AND(W42&gt;$F$16,W42&lt;=SUM($F$16:$F$17)),$P$54,0)</f>
        <v/>
      </c>
      <c r="AZ42" s="345">
        <f>IF(AND(SUM($AQ$16:AQ41)&gt;0,SUM($AZ$16:AZ41)&lt;$P$62,$W42&gt;=$P$65),$P$64,0)</f>
        <v/>
      </c>
      <c r="BA42" s="345">
        <f>IF(SUM($AQ$17:$AQ41)&gt;0,($P$62-SUM($AZ$17:$AZ41))*$F$65,0)</f>
        <v/>
      </c>
      <c r="BB42" s="346">
        <f>SUM(AT42:AY42)</f>
        <v/>
      </c>
      <c r="BC42" s="351">
        <f>AS42-BB42</f>
        <v/>
      </c>
      <c r="BD42" s="352">
        <f>BC42*$BF42</f>
        <v/>
      </c>
      <c r="BE42" s="393" t="n"/>
      <c r="BF42" s="46">
        <f>BF41/(1+$O$22)</f>
        <v/>
      </c>
      <c r="BH42" s="350">
        <f>AT42</f>
        <v/>
      </c>
      <c r="BI42" s="350">
        <f>AU42</f>
        <v/>
      </c>
      <c r="BJ42" s="351">
        <f>AV42</f>
        <v/>
      </c>
      <c r="BK42" s="351">
        <f>AW42</f>
        <v/>
      </c>
      <c r="BL42" s="351">
        <f>AY42</f>
        <v/>
      </c>
      <c r="BM42" s="351">
        <f>IF($W42&gt;$F$16,$F$56,0)</f>
        <v/>
      </c>
      <c r="BN42" s="352">
        <f>SUM(BH42:BM42)</f>
        <v/>
      </c>
      <c r="BO42" s="351">
        <f>IF($W42=$F$16,$P$32,0)</f>
        <v/>
      </c>
      <c r="BP42" s="351">
        <f>IF(AND(W42&gt;$F$16,W42&lt;=SUM($F$16:$F$17)),$P$41,0)</f>
        <v/>
      </c>
      <c r="BQ42" s="351">
        <f>IFERROR(-IPMT($P$67,W42-$F$16,$F$17,SUM(P$31,P$51)),0)</f>
        <v/>
      </c>
      <c r="BR42" s="351">
        <f>IF($W42&lt;=$O$16,$F$105,0)</f>
        <v/>
      </c>
      <c r="BS42" s="353">
        <f>IF($W42=1,SUM($O$103,$O$105),0)</f>
        <v/>
      </c>
      <c r="BT42" s="351">
        <f>IF($W42&lt;$O$16,IF(W42=$F$16,$P$93,$P$94),0)</f>
        <v/>
      </c>
      <c r="BU42" s="352">
        <f>SUM(BO42:BP42,BR42:BT42)</f>
        <v/>
      </c>
      <c r="BV42" s="352">
        <f>BN42-BU42</f>
        <v/>
      </c>
      <c r="BW42" s="342" t="n"/>
      <c r="BX42" s="338">
        <f>IFERROR(-PPMT($P$67,$W42-$F$16,$F$17,SUM(P$31,P$51)),0)</f>
        <v/>
      </c>
      <c r="BY42" s="356">
        <f>IF(BV42-BX42&gt;=0,0,1)</f>
        <v/>
      </c>
      <c r="CA42" s="0" t="n"/>
    </row>
    <row r="43" ht="15.75" customHeight="1" s="302">
      <c r="B43" s="0" t="inlineStr">
        <is>
          <t>2.4モニタリングコスト</t>
        </is>
      </c>
      <c r="E43" s="19" t="inlineStr">
        <is>
          <t>PSC</t>
        </is>
      </c>
      <c r="F43" s="19" t="inlineStr">
        <is>
          <t>PFI-LCC</t>
        </is>
      </c>
      <c r="K43" s="0" t="inlineStr">
        <is>
          <t>利用料金収入考慮後の維持管理運営に係るサービス購入費</t>
        </is>
      </c>
      <c r="N43" s="19" t="inlineStr">
        <is>
          <t>百万円</t>
        </is>
      </c>
      <c r="O43" s="365">
        <f>O41-O42</f>
        <v/>
      </c>
      <c r="P43" s="365">
        <f>P41-P42</f>
        <v/>
      </c>
      <c r="V43" s="58">
        <f>IF(W43=1,DATE(YEAR($F$18)+(MONTH($F$18)&gt;=4),4,0),EOMONTH(V42,12))</f>
        <v/>
      </c>
      <c r="W43" s="26" t="n">
        <v>27</v>
      </c>
      <c r="X43" s="282">
        <f>IF(W43&gt;$O$16,"-",IF($W43&lt;=$F$16,"整備期間","維持管理・運営期間"))</f>
        <v/>
      </c>
      <c r="Y43" s="344">
        <f>IF($W43=$F$16,$O$61,0)</f>
        <v/>
      </c>
      <c r="Z43" s="345">
        <f>IF($W43=$F$16,$O$63,0)</f>
        <v/>
      </c>
      <c r="AA43" s="345">
        <f>IF($W43=$F$16,$O$62,0)</f>
        <v/>
      </c>
      <c r="AB43" s="345">
        <f>IF(X43="維持管理・運営期間",$F$56,0)</f>
        <v/>
      </c>
      <c r="AC43" s="346">
        <f>SUM(Y43:Z43,AB43)</f>
        <v/>
      </c>
      <c r="AD43" s="344">
        <f>IF($W43=$F$16,$O$30,0)</f>
        <v/>
      </c>
      <c r="AE43" s="345">
        <f>IF($X43="維持管理・運営期間",$O$41,0)</f>
        <v/>
      </c>
      <c r="AF43" s="345">
        <f>IF(AND($W43&gt;0,$W43&lt;=$O$16),$E$45,0)</f>
        <v/>
      </c>
      <c r="AG43" s="345">
        <f>IF(AND(SUM($AA$16:AA42)&gt;0,SUM($AG$16:AG42)&lt;$O$62,$W43&gt;=$O$65),$O$64,0)</f>
        <v/>
      </c>
      <c r="AH43" s="353">
        <f>IF(SUM($AA$17:$AA42)&gt;0,($O$62-SUM($AG$17:$AG42))*$E$65,0)</f>
        <v/>
      </c>
      <c r="AI43" s="346">
        <f>SUM(AD43:AF43)</f>
        <v/>
      </c>
      <c r="AJ43" s="351">
        <f>AC43-AI43</f>
        <v/>
      </c>
      <c r="AK43" s="338">
        <f>(SUM($P$31,$P$51)-SUM($AU$17:AU42))*$O$109</f>
        <v/>
      </c>
      <c r="AL43" s="348" t="n"/>
      <c r="AM43" s="352">
        <f>AJ43*$BF43</f>
        <v/>
      </c>
      <c r="AN43" s="349" t="n"/>
      <c r="AO43" s="350">
        <f>IF($W43=$F$16,$P$61,0)</f>
        <v/>
      </c>
      <c r="AP43" s="351">
        <f>IF($W43=$F$16,$P$63,0)</f>
        <v/>
      </c>
      <c r="AQ43" s="351">
        <f>IF($W43=$F$16,$P$62,0)</f>
        <v/>
      </c>
      <c r="AR43" s="345">
        <f>IF($W43&lt;$O$16,IF(W43=$F$16,$U$92,$U$93),0)</f>
        <v/>
      </c>
      <c r="AS43" s="346">
        <f>SUM(AO43:AP43,AR43)</f>
        <v/>
      </c>
      <c r="AT43" s="345">
        <f>IF(W43=$F$16,$P$30,0)</f>
        <v/>
      </c>
      <c r="AU43" s="345">
        <f>IFERROR(-PPMT($P$36,W43-$F$16,$F$17,SUM(P$31,P$51)),0)</f>
        <v/>
      </c>
      <c r="AV43" s="345">
        <f>IFERROR(-IPMT($P$36,W43-$F$16,$F$17,SUM($P$31,$P$51)),0)</f>
        <v/>
      </c>
      <c r="AW43" s="345">
        <f>IF(AND(W43&gt;$F$16,W43&lt;=SUM($F$16:$F$17)),$P$43,0)</f>
        <v/>
      </c>
      <c r="AX43" s="345">
        <f>IF($W43=1,$F$44,0)+IF(AND($W43&gt;0,$W43&lt;=$O$16),$F$45,0)</f>
        <v/>
      </c>
      <c r="AY43" s="345">
        <f>IF(AND(W43&gt;$F$16,W43&lt;=SUM($F$16:$F$17)),$P$54,0)</f>
        <v/>
      </c>
      <c r="AZ43" s="345">
        <f>IF(AND(SUM($AQ$16:AQ42)&gt;0,SUM($AZ$16:AZ42)&lt;$P$62,$W43&gt;=$P$65),$P$64,0)</f>
        <v/>
      </c>
      <c r="BA43" s="345">
        <f>IF(SUM($AQ$17:$AQ42)&gt;0,($P$62-SUM($AZ$17:$AZ42))*$F$65,0)</f>
        <v/>
      </c>
      <c r="BB43" s="346">
        <f>SUM(AT43:AY43)</f>
        <v/>
      </c>
      <c r="BC43" s="351">
        <f>AS43-BB43</f>
        <v/>
      </c>
      <c r="BD43" s="352">
        <f>BC43*$BF43</f>
        <v/>
      </c>
      <c r="BE43" s="393" t="n"/>
      <c r="BF43" s="46">
        <f>BF42/(1+$O$22)</f>
        <v/>
      </c>
      <c r="BH43" s="350">
        <f>AT43</f>
        <v/>
      </c>
      <c r="BI43" s="350">
        <f>AU43</f>
        <v/>
      </c>
      <c r="BJ43" s="351">
        <f>AV43</f>
        <v/>
      </c>
      <c r="BK43" s="351">
        <f>AW43</f>
        <v/>
      </c>
      <c r="BL43" s="351">
        <f>AY43</f>
        <v/>
      </c>
      <c r="BM43" s="351">
        <f>IF($W43&gt;$F$16,$F$56,0)</f>
        <v/>
      </c>
      <c r="BN43" s="352">
        <f>SUM(BH43:BM43)</f>
        <v/>
      </c>
      <c r="BO43" s="351">
        <f>IF($W43=$F$16,$P$32,0)</f>
        <v/>
      </c>
      <c r="BP43" s="351">
        <f>IF(AND(W43&gt;$F$16,W43&lt;=SUM($F$16:$F$17)),$P$41,0)</f>
        <v/>
      </c>
      <c r="BQ43" s="351">
        <f>IFERROR(-IPMT($P$67,W43-$F$16,$F$17,SUM(P$31,P$51)),0)</f>
        <v/>
      </c>
      <c r="BR43" s="351">
        <f>IF($W43&lt;=$O$16,$F$105,0)</f>
        <v/>
      </c>
      <c r="BS43" s="353">
        <f>IF($W43=1,SUM($O$103,$O$105),0)</f>
        <v/>
      </c>
      <c r="BT43" s="351">
        <f>IF($W43&lt;$O$16,IF(W43=$F$16,$P$93,$P$94),0)</f>
        <v/>
      </c>
      <c r="BU43" s="352">
        <f>SUM(BO43:BP43,BR43:BT43)</f>
        <v/>
      </c>
      <c r="BV43" s="352">
        <f>BN43-BU43</f>
        <v/>
      </c>
      <c r="BW43" s="342" t="n"/>
      <c r="BX43" s="338">
        <f>IFERROR(-PPMT($P$67,$W43-$F$16,$F$17,SUM(P$31,P$51)),0)</f>
        <v/>
      </c>
      <c r="BY43" s="356">
        <f>IF(BV43-BX43&gt;=0,0,1)</f>
        <v/>
      </c>
      <c r="CA43" s="0" t="n"/>
    </row>
    <row r="44" ht="15.75" customHeight="1" s="302">
      <c r="C44" s="275" t="inlineStr">
        <is>
          <t>当初費用（アドバイザーフィー等）</t>
        </is>
      </c>
      <c r="D44" s="0" t="inlineStr">
        <is>
          <t>百万円</t>
        </is>
      </c>
      <c r="E44" s="366" t="n"/>
      <c r="F44" s="305" t="n">
        <v>25</v>
      </c>
      <c r="K44" s="0" t="inlineStr">
        <is>
          <t>維持管理運営費用（総額）</t>
        </is>
      </c>
      <c r="N44" s="19" t="inlineStr">
        <is>
          <t>百万円</t>
        </is>
      </c>
      <c r="O44" s="364">
        <f>O41*$F$17</f>
        <v/>
      </c>
      <c r="P44" s="364">
        <f>P43*$F$17</f>
        <v/>
      </c>
      <c r="V44" s="58">
        <f>IF(W44=1,DATE(YEAR($F$18)+(MONTH($F$18)&gt;=4),4,0),EOMONTH(V43,12))</f>
        <v/>
      </c>
      <c r="W44" s="26" t="n">
        <v>28</v>
      </c>
      <c r="X44" s="282">
        <f>IF(W44&gt;$O$16,"-",IF($W44&lt;=$F$16,"整備期間","維持管理・運営期間"))</f>
        <v/>
      </c>
      <c r="Y44" s="344">
        <f>IF($W44=$F$16,$O$61,0)</f>
        <v/>
      </c>
      <c r="Z44" s="345">
        <f>IF($W44=$F$16,$O$63,0)</f>
        <v/>
      </c>
      <c r="AA44" s="345">
        <f>IF($W44=$F$16,$O$62,0)</f>
        <v/>
      </c>
      <c r="AB44" s="345">
        <f>IF(X44="維持管理・運営期間",$F$56,0)</f>
        <v/>
      </c>
      <c r="AC44" s="346">
        <f>SUM(Y44:Z44,AB44)</f>
        <v/>
      </c>
      <c r="AD44" s="344">
        <f>IF($W44=$F$16,$O$30,0)</f>
        <v/>
      </c>
      <c r="AE44" s="345">
        <f>IF($X44="維持管理・運営期間",$O$41,0)</f>
        <v/>
      </c>
      <c r="AF44" s="345">
        <f>IF(AND($W44&gt;0,$W44&lt;=$O$16),$E$45,0)</f>
        <v/>
      </c>
      <c r="AG44" s="345">
        <f>IF(AND(SUM($AA$16:AA43)&gt;0,SUM($AG$16:AG43)&lt;$O$62,$W44&gt;=$O$65),$O$64,0)</f>
        <v/>
      </c>
      <c r="AH44" s="353">
        <f>IF(SUM($AA$17:$AA43)&gt;0,($O$62-SUM($AG$17:$AG43))*$E$65,0)</f>
        <v/>
      </c>
      <c r="AI44" s="346">
        <f>SUM(AD44:AF44)</f>
        <v/>
      </c>
      <c r="AJ44" s="351">
        <f>AC44-AI44</f>
        <v/>
      </c>
      <c r="AK44" s="338">
        <f>(SUM($P$31,$P$51)-SUM($AU$17:AU43))*$O$109</f>
        <v/>
      </c>
      <c r="AL44" s="348" t="n"/>
      <c r="AM44" s="352">
        <f>AJ44*$BF44</f>
        <v/>
      </c>
      <c r="AN44" s="349" t="n"/>
      <c r="AO44" s="350">
        <f>IF($W44=$F$16,$P$61,0)</f>
        <v/>
      </c>
      <c r="AP44" s="351">
        <f>IF($W44=$F$16,$P$63,0)</f>
        <v/>
      </c>
      <c r="AQ44" s="351">
        <f>IF($W44=$F$16,$P$62,0)</f>
        <v/>
      </c>
      <c r="AR44" s="345">
        <f>IF($W44&lt;$O$16,IF(W44=$F$16,$U$92,$U$93),0)</f>
        <v/>
      </c>
      <c r="AS44" s="346">
        <f>SUM(AO44:AP44,AR44)</f>
        <v/>
      </c>
      <c r="AT44" s="345">
        <f>IF(W44=$F$16,$P$30,0)</f>
        <v/>
      </c>
      <c r="AU44" s="345">
        <f>IFERROR(-PPMT($P$36,W44-$F$16,$F$17,SUM(P$31,P$51)),0)</f>
        <v/>
      </c>
      <c r="AV44" s="345">
        <f>IFERROR(-IPMT($P$36,W44-$F$16,$F$17,SUM($P$31,$P$51)),0)</f>
        <v/>
      </c>
      <c r="AW44" s="345">
        <f>IF(AND(W44&gt;$F$16,W44&lt;=SUM($F$16:$F$17)),$P$43,0)</f>
        <v/>
      </c>
      <c r="AX44" s="345">
        <f>IF($W44=1,$F$44,0)+IF(AND($W44&gt;0,$W44&lt;=$O$16),$F$45,0)</f>
        <v/>
      </c>
      <c r="AY44" s="345">
        <f>IF(AND(W44&gt;$F$16,W44&lt;=SUM($F$16:$F$17)),$P$54,0)</f>
        <v/>
      </c>
      <c r="AZ44" s="345">
        <f>IF(AND(SUM($AQ$16:AQ43)&gt;0,SUM($AZ$16:AZ43)&lt;$P$62,$W44&gt;=$P$65),$P$64,0)</f>
        <v/>
      </c>
      <c r="BA44" s="345">
        <f>IF(SUM($AQ$17:$AQ43)&gt;0,($P$62-SUM($AZ$17:$AZ43))*$F$65,0)</f>
        <v/>
      </c>
      <c r="BB44" s="346">
        <f>SUM(AT44:AY44)</f>
        <v/>
      </c>
      <c r="BC44" s="351">
        <f>AS44-BB44</f>
        <v/>
      </c>
      <c r="BD44" s="352">
        <f>BC44*$BF44</f>
        <v/>
      </c>
      <c r="BE44" s="393" t="n"/>
      <c r="BF44" s="46">
        <f>BF43/(1+$O$22)</f>
        <v/>
      </c>
      <c r="BH44" s="350">
        <f>AT44</f>
        <v/>
      </c>
      <c r="BI44" s="350">
        <f>AU44</f>
        <v/>
      </c>
      <c r="BJ44" s="351">
        <f>AV44</f>
        <v/>
      </c>
      <c r="BK44" s="351">
        <f>AW44</f>
        <v/>
      </c>
      <c r="BL44" s="351">
        <f>AY44</f>
        <v/>
      </c>
      <c r="BM44" s="351">
        <f>IF($W44&gt;$F$16,$F$56,0)</f>
        <v/>
      </c>
      <c r="BN44" s="352">
        <f>SUM(BH44:BM44)</f>
        <v/>
      </c>
      <c r="BO44" s="351">
        <f>IF($W44=$F$16,$P$32,0)</f>
        <v/>
      </c>
      <c r="BP44" s="351">
        <f>IF(AND(W44&gt;$F$16,W44&lt;=SUM($F$16:$F$17)),$P$41,0)</f>
        <v/>
      </c>
      <c r="BQ44" s="351">
        <f>IFERROR(-IPMT($P$67,W44-$F$16,$F$17,SUM(P$31,P$51)),0)</f>
        <v/>
      </c>
      <c r="BR44" s="351">
        <f>IF($W44&lt;=$O$16,$F$105,0)</f>
        <v/>
      </c>
      <c r="BS44" s="353">
        <f>IF($W44=1,SUM($O$103,$O$105),0)</f>
        <v/>
      </c>
      <c r="BT44" s="351">
        <f>IF($W44&lt;$O$16,IF(W44=$F$16,$P$93,$P$94),0)</f>
        <v/>
      </c>
      <c r="BU44" s="352">
        <f>SUM(BO44:BP44,BR44:BT44)</f>
        <v/>
      </c>
      <c r="BV44" s="352">
        <f>BN44-BU44</f>
        <v/>
      </c>
      <c r="BW44" s="342" t="n"/>
      <c r="BX44" s="338">
        <f>IFERROR(-PPMT($P$67,$W44-$F$16,$F$17,SUM(P$31,P$51)),0)</f>
        <v/>
      </c>
      <c r="BY44" s="356">
        <f>IF(BV44-BX44&gt;=0,0,1)</f>
        <v/>
      </c>
      <c r="CA44" s="0" t="n"/>
    </row>
    <row r="45" ht="15.75" customHeight="1" s="302">
      <c r="C45" s="0" t="inlineStr">
        <is>
          <t>期中費用（モニタリングコスト）</t>
        </is>
      </c>
      <c r="D45" s="0" t="inlineStr">
        <is>
          <t>百万円</t>
        </is>
      </c>
      <c r="E45" s="305" t="n">
        <v>10</v>
      </c>
      <c r="F45" s="305" t="n">
        <v>6</v>
      </c>
      <c r="V45" s="58">
        <f>IF(W45=1,DATE(YEAR($F$18)+(MONTH($F$18)&gt;=4),4,0),EOMONTH(V44,12))</f>
        <v/>
      </c>
      <c r="W45" s="26" t="n">
        <v>29</v>
      </c>
      <c r="X45" s="282">
        <f>IF(W45&gt;$O$16,"-",IF($W45&lt;=$F$16,"整備期間","維持管理・運営期間"))</f>
        <v/>
      </c>
      <c r="Y45" s="344">
        <f>IF($W45=$F$16,$O$61,0)</f>
        <v/>
      </c>
      <c r="Z45" s="345">
        <f>IF($W45=$F$16,$O$63,0)</f>
        <v/>
      </c>
      <c r="AA45" s="345">
        <f>IF($W45=$F$16,$O$62,0)</f>
        <v/>
      </c>
      <c r="AB45" s="345">
        <f>IF(X45="維持管理・運営期間",$F$56,0)</f>
        <v/>
      </c>
      <c r="AC45" s="346">
        <f>SUM(Y45:Z45,AB45)</f>
        <v/>
      </c>
      <c r="AD45" s="344">
        <f>IF($W45=$F$16,$O$30,0)</f>
        <v/>
      </c>
      <c r="AE45" s="345">
        <f>IF($X45="維持管理・運営期間",$O$41,0)</f>
        <v/>
      </c>
      <c r="AF45" s="345">
        <f>IF(AND($W45&gt;0,$W45&lt;=$O$16),$E$45,0)</f>
        <v/>
      </c>
      <c r="AG45" s="345">
        <f>IF(AND(SUM($AA$16:AA44)&gt;0,SUM($AG$16:AG44)&lt;$O$62,$W45&gt;=$O$65),$O$64,0)</f>
        <v/>
      </c>
      <c r="AH45" s="353">
        <f>IF(SUM($AA$17:$AA44)&gt;0,($O$62-SUM($AG$17:$AG44))*$E$65,0)</f>
        <v/>
      </c>
      <c r="AI45" s="346">
        <f>SUM(AD45:AF45)</f>
        <v/>
      </c>
      <c r="AJ45" s="351">
        <f>AC45-AI45</f>
        <v/>
      </c>
      <c r="AK45" s="338">
        <f>(SUM($P$31,$P$51)-SUM($AU$17:AU44))*$O$109</f>
        <v/>
      </c>
      <c r="AL45" s="348" t="n"/>
      <c r="AM45" s="352">
        <f>AJ45*$BF45</f>
        <v/>
      </c>
      <c r="AN45" s="349" t="n"/>
      <c r="AO45" s="350">
        <f>IF($W45=$F$16,$P$61,0)</f>
        <v/>
      </c>
      <c r="AP45" s="351">
        <f>IF($W45=$F$16,$P$63,0)</f>
        <v/>
      </c>
      <c r="AQ45" s="351">
        <f>IF($W45=$F$16,$P$62,0)</f>
        <v/>
      </c>
      <c r="AR45" s="345">
        <f>IF($W45&lt;$O$16,IF(W45=$F$16,$U$92,$U$93),0)</f>
        <v/>
      </c>
      <c r="AS45" s="346">
        <f>SUM(AO45:AP45,AR45)</f>
        <v/>
      </c>
      <c r="AT45" s="345">
        <f>IF(W45=$F$16,$P$30,0)</f>
        <v/>
      </c>
      <c r="AU45" s="345">
        <f>IFERROR(-PPMT($P$36,W45-$F$16,$F$17,SUM(P$31,P$51)),0)</f>
        <v/>
      </c>
      <c r="AV45" s="345">
        <f>IFERROR(-IPMT($P$36,W45-$F$16,$F$17,SUM($P$31,$P$51)),0)</f>
        <v/>
      </c>
      <c r="AW45" s="345">
        <f>IF(AND(W45&gt;$F$16,W45&lt;=SUM($F$16:$F$17)),$P$43,0)</f>
        <v/>
      </c>
      <c r="AX45" s="345">
        <f>IF($W45=1,$F$44,0)+IF(AND($W45&gt;0,$W45&lt;=$O$16),$F$45,0)</f>
        <v/>
      </c>
      <c r="AY45" s="345">
        <f>IF(AND(W45&gt;$F$16,W45&lt;=SUM($F$16:$F$17)),$P$54,0)</f>
        <v/>
      </c>
      <c r="AZ45" s="345">
        <f>IF(AND(SUM($AQ$16:AQ44)&gt;0,SUM($AZ$16:AZ44)&lt;$P$62,$W45&gt;=$P$65),$P$64,0)</f>
        <v/>
      </c>
      <c r="BA45" s="345">
        <f>IF(SUM($AQ$17:$AQ44)&gt;0,($P$62-SUM($AZ$17:$AZ44))*$F$65,0)</f>
        <v/>
      </c>
      <c r="BB45" s="346">
        <f>SUM(AT45:AY45)</f>
        <v/>
      </c>
      <c r="BC45" s="351">
        <f>AS45-BB45</f>
        <v/>
      </c>
      <c r="BD45" s="352">
        <f>BC45*$BF45</f>
        <v/>
      </c>
      <c r="BE45" s="393" t="n"/>
      <c r="BF45" s="46">
        <f>BF44/(1+$O$22)</f>
        <v/>
      </c>
      <c r="BH45" s="350">
        <f>AT45</f>
        <v/>
      </c>
      <c r="BI45" s="350">
        <f>AU45</f>
        <v/>
      </c>
      <c r="BJ45" s="351">
        <f>AV45</f>
        <v/>
      </c>
      <c r="BK45" s="351">
        <f>AW45</f>
        <v/>
      </c>
      <c r="BL45" s="351">
        <f>AY45</f>
        <v/>
      </c>
      <c r="BM45" s="351">
        <f>IF($W45&gt;$F$16,$F$56,0)</f>
        <v/>
      </c>
      <c r="BN45" s="352">
        <f>SUM(BH45:BM45)</f>
        <v/>
      </c>
      <c r="BO45" s="351">
        <f>IF($W45=$F$16,$P$32,0)</f>
        <v/>
      </c>
      <c r="BP45" s="351">
        <f>IF(AND(W45&gt;$F$16,W45&lt;=SUM($F$16:$F$17)),$P$41,0)</f>
        <v/>
      </c>
      <c r="BQ45" s="351">
        <f>IFERROR(-IPMT($P$67,W45-$F$16,$F$17,SUM(P$31,P$51)),0)</f>
        <v/>
      </c>
      <c r="BR45" s="351">
        <f>IF($W45&lt;=$O$16,$F$105,0)</f>
        <v/>
      </c>
      <c r="BS45" s="353">
        <f>IF($W45=1,SUM($O$103,$O$105),0)</f>
        <v/>
      </c>
      <c r="BT45" s="351">
        <f>IF($W45&lt;$O$16,IF(W45=$F$16,$P$93,$P$94),0)</f>
        <v/>
      </c>
      <c r="BU45" s="352">
        <f>SUM(BO45:BP45,BR45:BT45)</f>
        <v/>
      </c>
      <c r="BV45" s="352">
        <f>BN45-BU45</f>
        <v/>
      </c>
      <c r="BW45" s="342" t="n"/>
      <c r="BX45" s="338">
        <f>IFERROR(-PPMT($P$67,$W45-$F$16,$F$17,SUM(P$31,P$51)),0)</f>
        <v/>
      </c>
      <c r="BY45" s="356">
        <f>IF(BV45-BX45&gt;=0,0,1)</f>
        <v/>
      </c>
      <c r="CA45" s="0" t="n"/>
    </row>
    <row r="46" ht="15.75" customHeight="1" s="302">
      <c r="B46" s="0" t="inlineStr">
        <is>
          <t>2.5 SPC費用、税金等</t>
        </is>
      </c>
      <c r="J46" s="4" t="inlineStr">
        <is>
          <t>2.5 SPC費用、税金等の取扱い</t>
        </is>
      </c>
      <c r="V46" s="58">
        <f>IF(W46=1,DATE(YEAR($F$18)+(MONTH($F$18)&gt;=4),4,0),EOMONTH(V45,12))</f>
        <v/>
      </c>
      <c r="W46" s="26" t="n">
        <v>30</v>
      </c>
      <c r="X46" s="282">
        <f>IF(W46&gt;$O$16,"-",IF($W46&lt;=$F$16,"整備期間","維持管理・運営期間"))</f>
        <v/>
      </c>
      <c r="Y46" s="344">
        <f>IF($W46=$F$16,$O$61,0)</f>
        <v/>
      </c>
      <c r="Z46" s="345">
        <f>IF($W46=$F$16,$O$63,0)</f>
        <v/>
      </c>
      <c r="AA46" s="345">
        <f>IF($W46=$F$16,$O$62,0)</f>
        <v/>
      </c>
      <c r="AB46" s="345">
        <f>IF(X46="維持管理・運営期間",$F$56,0)</f>
        <v/>
      </c>
      <c r="AC46" s="346">
        <f>SUM(Y46:Z46,AB46)</f>
        <v/>
      </c>
      <c r="AD46" s="344">
        <f>IF($W46=$F$16,$O$30,0)</f>
        <v/>
      </c>
      <c r="AE46" s="345">
        <f>IF($X46="維持管理・運営期間",$O$41,0)</f>
        <v/>
      </c>
      <c r="AF46" s="345">
        <f>IF(AND($W46&gt;0,$W46&lt;=$O$16),$E$45,0)</f>
        <v/>
      </c>
      <c r="AG46" s="345">
        <f>IF(AND(SUM($AA$16:AA45)&gt;0,SUM($AG$16:AG45)&lt;$O$62,$W46&gt;=$O$65),$O$64,0)</f>
        <v/>
      </c>
      <c r="AH46" s="353">
        <f>IF(SUM($AA$17:$AA45)&gt;0,($O$62-SUM($AG$17:$AG45))*$E$65,0)</f>
        <v/>
      </c>
      <c r="AI46" s="346">
        <f>SUM(AD46:AF46)</f>
        <v/>
      </c>
      <c r="AJ46" s="351">
        <f>AC46-AI46</f>
        <v/>
      </c>
      <c r="AK46" s="338">
        <f>(SUM($P$31,$P$51)-SUM($AU$17:AU45))*$O$109</f>
        <v/>
      </c>
      <c r="AL46" s="348" t="n"/>
      <c r="AM46" s="352">
        <f>AJ46*$BF46</f>
        <v/>
      </c>
      <c r="AN46" s="349" t="n"/>
      <c r="AO46" s="350">
        <f>IF($W46=$F$16,$P$61,0)</f>
        <v/>
      </c>
      <c r="AP46" s="351">
        <f>IF($W46=$F$16,$P$63,0)</f>
        <v/>
      </c>
      <c r="AQ46" s="351">
        <f>IF($W46=$F$16,$P$62,0)</f>
        <v/>
      </c>
      <c r="AR46" s="345">
        <f>IF($W46&lt;$O$16,IF(W46=$F$16,$U$92,$U$93),0)</f>
        <v/>
      </c>
      <c r="AS46" s="346">
        <f>SUM(AO46:AP46,AR46)</f>
        <v/>
      </c>
      <c r="AT46" s="345">
        <f>IF(W46=$F$16,$P$30,0)</f>
        <v/>
      </c>
      <c r="AU46" s="345">
        <f>IFERROR(-PPMT($P$36,W46-$F$16,$F$17,SUM(P$31,P$51)),0)</f>
        <v/>
      </c>
      <c r="AV46" s="345">
        <f>IFERROR(-IPMT($P$36,W46-$F$16,$F$17,SUM($P$31,$P$51)),0)</f>
        <v/>
      </c>
      <c r="AW46" s="345">
        <f>IF(AND(W46&gt;$F$16,W46&lt;=SUM($F$16:$F$17)),$P$43,0)</f>
        <v/>
      </c>
      <c r="AX46" s="345">
        <f>IF($W46=1,$F$44,0)+IF(AND($W46&gt;0,$W46&lt;=$O$16),$F$45,0)</f>
        <v/>
      </c>
      <c r="AY46" s="345">
        <f>IF(AND(W46&gt;$F$16,W46&lt;=SUM($F$16:$F$17)),$P$54,0)</f>
        <v/>
      </c>
      <c r="AZ46" s="345">
        <f>IF(AND(SUM($AQ$16:AQ45)&gt;0,SUM($AZ$16:AZ45)&lt;$P$62,$W46&gt;=$P$65),$P$64,0)</f>
        <v/>
      </c>
      <c r="BA46" s="345">
        <f>IF(SUM($AQ$17:$AQ45)&gt;0,($P$62-SUM($AZ$17:$AZ45))*$F$65,0)</f>
        <v/>
      </c>
      <c r="BB46" s="346">
        <f>SUM(AT46:AY46)</f>
        <v/>
      </c>
      <c r="BC46" s="351">
        <f>AS46-BB46</f>
        <v/>
      </c>
      <c r="BD46" s="352">
        <f>BC46*$BF46</f>
        <v/>
      </c>
      <c r="BE46" s="393" t="n"/>
      <c r="BF46" s="47">
        <f>BF45/(1+$O$22)</f>
        <v/>
      </c>
      <c r="BH46" s="350">
        <f>AT46</f>
        <v/>
      </c>
      <c r="BI46" s="350">
        <f>AU46</f>
        <v/>
      </c>
      <c r="BJ46" s="351">
        <f>AV46</f>
        <v/>
      </c>
      <c r="BK46" s="351">
        <f>AW46</f>
        <v/>
      </c>
      <c r="BL46" s="351">
        <f>AY46</f>
        <v/>
      </c>
      <c r="BM46" s="345">
        <f>IF($W46&gt;$F$16,$F$56,0)</f>
        <v/>
      </c>
      <c r="BN46" s="346">
        <f>SUM(BH46:BM46)</f>
        <v/>
      </c>
      <c r="BO46" s="351">
        <f>IF($W46=$F$16,$P$32,0)</f>
        <v/>
      </c>
      <c r="BP46" s="351">
        <f>IF(AND(W46&gt;$F$16,W46&lt;=SUM($F$16:$F$17)),$P$41,0)</f>
        <v/>
      </c>
      <c r="BQ46" s="351">
        <f>IFERROR(-IPMT($P$67,W46-$F$16,$F$17,SUM(P$31,P$51)),0)</f>
        <v/>
      </c>
      <c r="BR46" s="351">
        <f>IF($W46&lt;=$O$16,$F$105,0)</f>
        <v/>
      </c>
      <c r="BS46" s="353">
        <f>IF($W46=1,SUM($O$103,$O$105),0)</f>
        <v/>
      </c>
      <c r="BT46" s="351">
        <f>IF($W46&lt;$O$16,IF(W46=$F$16,$P$93,$P$94),0)</f>
        <v/>
      </c>
      <c r="BU46" s="346">
        <f>SUM(BO46:BP46,BR46:BT46)</f>
        <v/>
      </c>
      <c r="BV46" s="346">
        <f>BN46-BU46</f>
        <v/>
      </c>
      <c r="BW46" s="342" t="n"/>
      <c r="BX46" s="338">
        <f>IFERROR(-PPMT($P$67,$W46-$F$16,$F$17,SUM(P$31,P$51)),0)</f>
        <v/>
      </c>
      <c r="BY46" s="356">
        <f>IF(BV46-BX46&gt;=0,0,1)</f>
        <v/>
      </c>
      <c r="CA46" s="0" t="n"/>
    </row>
    <row r="47" ht="15.75" customHeight="1" s="302">
      <c r="F47" s="367" t="n">
        <v>1</v>
      </c>
      <c r="G47" s="0" t="n">
        <v>0</v>
      </c>
      <c r="H47" s="0" t="inlineStr">
        <is>
          <t>割賦金利に含めて支払</t>
        </is>
      </c>
      <c r="K47" s="0" t="inlineStr">
        <is>
          <t>SPC費用　年額</t>
        </is>
      </c>
      <c r="V47" s="58">
        <f>IF(W47=1,DATE(YEAR($F$18)+(MONTH($F$18)&gt;=4),4,0),EOMONTH(V46,12))</f>
        <v/>
      </c>
      <c r="W47" s="26" t="n">
        <v>31</v>
      </c>
      <c r="X47" s="282">
        <f>IF(W47&gt;$O$16,"-",IF($W47&lt;=$F$16,"整備期間","維持管理・運営期間"))</f>
        <v/>
      </c>
      <c r="Y47" s="344">
        <f>IF($W47=$F$16,$O$61,0)</f>
        <v/>
      </c>
      <c r="Z47" s="345">
        <f>IF($W47=$F$16,$O$63,0)</f>
        <v/>
      </c>
      <c r="AA47" s="345">
        <f>IF($W47=$F$16,$O$62,0)</f>
        <v/>
      </c>
      <c r="AB47" s="345">
        <f>IF(X47="維持管理・運営期間",$F$56,0)</f>
        <v/>
      </c>
      <c r="AC47" s="346">
        <f>SUM(Y47:Z47,AB47)</f>
        <v/>
      </c>
      <c r="AD47" s="344">
        <f>IF($W47=$F$16,$O$30,0)</f>
        <v/>
      </c>
      <c r="AE47" s="345">
        <f>IF($X47="維持管理・運営期間",$O$41,0)</f>
        <v/>
      </c>
      <c r="AF47" s="345">
        <f>IF(AND($W47&gt;0,$W47&lt;=$O$16),$E$45,0)</f>
        <v/>
      </c>
      <c r="AG47" s="345">
        <f>IF(AND(SUM($AA$16:AA46)&gt;0,SUM($AG$16:AG46)&lt;$O$62,$W47&gt;=$O$65),$O$64,0)</f>
        <v/>
      </c>
      <c r="AH47" s="353">
        <f>IF(SUM($AA$17:$AA46)&gt;0,($O$62-SUM($AG$17:$AG46))*$E$65,0)</f>
        <v/>
      </c>
      <c r="AI47" s="346">
        <f>SUM(AD47:AF47)</f>
        <v/>
      </c>
      <c r="AJ47" s="351">
        <f>AC47-AI47</f>
        <v/>
      </c>
      <c r="AK47" s="338">
        <f>(SUM($P$31,$P$51)-SUM($AU$17:AU46))*$O$109</f>
        <v/>
      </c>
      <c r="AL47" s="348" t="n"/>
      <c r="AM47" s="352">
        <f>AJ47*$BF47</f>
        <v/>
      </c>
      <c r="AN47" s="349" t="n"/>
      <c r="AO47" s="350">
        <f>IF($W47=$F$16,$P$61,0)</f>
        <v/>
      </c>
      <c r="AP47" s="351">
        <f>IF($W47=$F$16,$P$63,0)</f>
        <v/>
      </c>
      <c r="AQ47" s="351">
        <f>IF($W47=$F$16,$P$62,0)</f>
        <v/>
      </c>
      <c r="AR47" s="345">
        <f>IF($W47&lt;$O$16,IF(W47=$F$16,$U$92,$U$93),0)</f>
        <v/>
      </c>
      <c r="AS47" s="346">
        <f>SUM(AO47:AP47,AR47)</f>
        <v/>
      </c>
      <c r="AT47" s="345">
        <f>IF(W47=$F$16,$P$30,0)</f>
        <v/>
      </c>
      <c r="AU47" s="345">
        <f>IFERROR(-PPMT($P$36,W47-$F$16,$F$17,SUM(P$31,P$51)),0)</f>
        <v/>
      </c>
      <c r="AV47" s="345">
        <f>IFERROR(-IPMT($P$36,W47-$F$16,$F$17,SUM($P$31,$P$51)),0)</f>
        <v/>
      </c>
      <c r="AW47" s="345">
        <f>IF(AND(W47&gt;$F$16,W47&lt;=SUM($F$16:$F$17)),$P$43,0)</f>
        <v/>
      </c>
      <c r="AX47" s="345">
        <f>IF($W47=1,$F$44,0)+IF(AND($W47&gt;0,$W47&lt;=$O$16),$F$45,0)</f>
        <v/>
      </c>
      <c r="AY47" s="345">
        <f>IF(AND(W47&gt;$F$16,W47&lt;=SUM($F$16:$F$17)),$P$54,0)</f>
        <v/>
      </c>
      <c r="AZ47" s="345">
        <f>IF(AND(SUM($AQ$16:AQ46)&gt;0,SUM($AZ$16:AZ46)&lt;$P$62,$W47&gt;=$P$65),$P$64,0)</f>
        <v/>
      </c>
      <c r="BA47" s="345">
        <f>IF(SUM($AQ$17:$AQ46)&gt;0,($P$62-SUM($AZ$17:$AZ46))*$F$65,0)</f>
        <v/>
      </c>
      <c r="BB47" s="346">
        <f>SUM(AT47:AY47)</f>
        <v/>
      </c>
      <c r="BC47" s="351">
        <f>AS47-BB47</f>
        <v/>
      </c>
      <c r="BD47" s="352">
        <f>BC47*$BF47</f>
        <v/>
      </c>
      <c r="BE47" s="393" t="n"/>
      <c r="BF47" s="47">
        <f>BF46/(1+$O$22)</f>
        <v/>
      </c>
      <c r="BH47" s="350">
        <f>AT47</f>
        <v/>
      </c>
      <c r="BI47" s="350">
        <f>AU47</f>
        <v/>
      </c>
      <c r="BJ47" s="351">
        <f>AV47</f>
        <v/>
      </c>
      <c r="BK47" s="351">
        <f>AW47</f>
        <v/>
      </c>
      <c r="BL47" s="351">
        <f>AY47</f>
        <v/>
      </c>
      <c r="BM47" s="345">
        <f>IF($W47&gt;$F$16,$F$56,0)</f>
        <v/>
      </c>
      <c r="BN47" s="346">
        <f>SUM(BH47:BM47)</f>
        <v/>
      </c>
      <c r="BO47" s="351">
        <f>IF($W47=$F$16,$P$32,0)</f>
        <v/>
      </c>
      <c r="BP47" s="351">
        <f>IF(AND(W47&gt;$F$16,W47&lt;=SUM($F$16:$F$17)),$P$41,0)</f>
        <v/>
      </c>
      <c r="BQ47" s="351">
        <f>IFERROR(-IPMT($P$67,W47-$F$16,$F$17,SUM(P$31,P$51)),0)</f>
        <v/>
      </c>
      <c r="BR47" s="351">
        <f>IF($W47&lt;=$O$16,$F$105,0)</f>
        <v/>
      </c>
      <c r="BS47" s="353">
        <f>IF($W47=1,SUM($O$103,$O$105),0)</f>
        <v/>
      </c>
      <c r="BT47" s="351">
        <f>IF($W47&lt;$O$16,IF(W47=$F$16,$P$93,$P$94),0)</f>
        <v/>
      </c>
      <c r="BU47" s="346">
        <f>SUM(BO47:BP47,BR47:BT47)</f>
        <v/>
      </c>
      <c r="BV47" s="346">
        <f>BN47-BU47</f>
        <v/>
      </c>
      <c r="BW47" s="342" t="n"/>
      <c r="BX47" s="338">
        <f>IFERROR(-PPMT($P$67,$W47-$F$16,$F$17,SUM(P$31,P$51)),0)</f>
        <v/>
      </c>
      <c r="BY47" s="356">
        <f>IF(BV47-BX47&gt;=0,0,1)</f>
        <v/>
      </c>
      <c r="CA47" s="0" t="n"/>
    </row>
    <row r="48" ht="15.75" customHeight="1" s="302">
      <c r="G48" s="0" t="n">
        <v>1</v>
      </c>
      <c r="H48" s="0" t="inlineStr">
        <is>
          <t>サービス購入費として支払</t>
        </is>
      </c>
      <c r="I48" s="19" t="n"/>
      <c r="M48" s="0" t="inlineStr">
        <is>
          <t>SPC設立費用</t>
        </is>
      </c>
      <c r="N48" s="19" t="inlineStr">
        <is>
          <t>百万円</t>
        </is>
      </c>
      <c r="O48" s="362" t="n"/>
      <c r="P48" s="360">
        <f>F104</f>
        <v/>
      </c>
      <c r="V48" s="58">
        <f>IF(W48=1,DATE(YEAR($F$18)+(MONTH($F$18)&gt;=4),4,0),EOMONTH(V47,12))</f>
        <v/>
      </c>
      <c r="W48" s="26" t="n">
        <v>32</v>
      </c>
      <c r="X48" s="282">
        <f>IF(W48&gt;$O$16,"-",IF($W48&lt;=$F$16,"整備期間","維持管理・運営期間"))</f>
        <v/>
      </c>
      <c r="Y48" s="344">
        <f>IF($W48=$F$16,$O$61,0)</f>
        <v/>
      </c>
      <c r="Z48" s="345">
        <f>IF($W48=$F$16,$O$63,0)</f>
        <v/>
      </c>
      <c r="AA48" s="345">
        <f>IF($W48=$F$16,$O$62,0)</f>
        <v/>
      </c>
      <c r="AB48" s="345">
        <f>IF(X48="維持管理・運営期間",$F$56,0)</f>
        <v/>
      </c>
      <c r="AC48" s="346">
        <f>SUM(Y48:Z48,AB48)</f>
        <v/>
      </c>
      <c r="AD48" s="344">
        <f>IF($W48=$F$16,$O$30,0)</f>
        <v/>
      </c>
      <c r="AE48" s="345">
        <f>IF($X48="維持管理・運営期間",$O$41,0)</f>
        <v/>
      </c>
      <c r="AF48" s="345">
        <f>IF(AND($W48&gt;0,$W48&lt;=$O$16),$E$45,0)</f>
        <v/>
      </c>
      <c r="AG48" s="345">
        <f>IF(AND(SUM($AA$16:AA47)&gt;0,SUM($AG$16:AG47)&lt;$O$62,$W48&gt;=$O$65),$O$64,0)</f>
        <v/>
      </c>
      <c r="AH48" s="353">
        <f>IF(SUM($AA$17:$AA47)&gt;0,($O$62-SUM($AG$17:$AG47))*$E$65,0)</f>
        <v/>
      </c>
      <c r="AI48" s="346">
        <f>SUM(AD48:AF48)</f>
        <v/>
      </c>
      <c r="AJ48" s="351">
        <f>AC48-AI48</f>
        <v/>
      </c>
      <c r="AK48" s="338">
        <f>(SUM($P$31,$P$51)-SUM($AU$17:AU47))*$O$109</f>
        <v/>
      </c>
      <c r="AL48" s="348" t="n"/>
      <c r="AM48" s="352">
        <f>AJ48*$BF48</f>
        <v/>
      </c>
      <c r="AN48" s="349" t="n"/>
      <c r="AO48" s="350">
        <f>IF($W48=$F$16,$P$61,0)</f>
        <v/>
      </c>
      <c r="AP48" s="351">
        <f>IF($W48=$F$16,$P$63,0)</f>
        <v/>
      </c>
      <c r="AQ48" s="351">
        <f>IF($W48=$F$16,$P$62,0)</f>
        <v/>
      </c>
      <c r="AR48" s="345">
        <f>IF($W48&lt;$O$16,IF(W48=$F$16,$U$92,$U$93),0)</f>
        <v/>
      </c>
      <c r="AS48" s="346">
        <f>SUM(AO48:AP48,AR48)</f>
        <v/>
      </c>
      <c r="AT48" s="345">
        <f>IF(W48=$F$16,$P$30,0)</f>
        <v/>
      </c>
      <c r="AU48" s="345">
        <f>IFERROR(-PPMT($P$36,W48-$F$16,$F$17,SUM(P$31,P$51)),0)</f>
        <v/>
      </c>
      <c r="AV48" s="345">
        <f>IFERROR(-IPMT($P$36,W48-$F$16,$F$17,SUM($P$31,$P$51)),0)</f>
        <v/>
      </c>
      <c r="AW48" s="345">
        <f>IF(AND(W48&gt;$F$16,W48&lt;=SUM($F$16:$F$17)),$P$43,0)</f>
        <v/>
      </c>
      <c r="AX48" s="345">
        <f>IF($W48=1,$F$44,0)+IF(AND($W48&gt;0,$W48&lt;=$O$16),$F$45,0)</f>
        <v/>
      </c>
      <c r="AY48" s="345">
        <f>IF(AND(W48&gt;$F$16,W48&lt;=SUM($F$16:$F$17)),$P$54,0)</f>
        <v/>
      </c>
      <c r="AZ48" s="345">
        <f>IF(AND(SUM($AQ$16:AQ47)&gt;0,SUM($AZ$16:AZ47)&lt;$P$62,$W48&gt;=$P$65),$P$64,0)</f>
        <v/>
      </c>
      <c r="BA48" s="345">
        <f>IF(SUM($AQ$17:$AQ47)&gt;0,($P$62-SUM($AZ$17:$AZ47))*$F$65,0)</f>
        <v/>
      </c>
      <c r="BB48" s="346">
        <f>SUM(AT48:AY48)</f>
        <v/>
      </c>
      <c r="BC48" s="351">
        <f>AS48-BB48</f>
        <v/>
      </c>
      <c r="BD48" s="352">
        <f>BC48*$BF48</f>
        <v/>
      </c>
      <c r="BE48" s="393" t="n"/>
      <c r="BF48" s="47">
        <f>BF47/(1+$O$22)</f>
        <v/>
      </c>
      <c r="BH48" s="350">
        <f>AT48</f>
        <v/>
      </c>
      <c r="BI48" s="350">
        <f>AU48</f>
        <v/>
      </c>
      <c r="BJ48" s="351">
        <f>AV48</f>
        <v/>
      </c>
      <c r="BK48" s="351">
        <f>AW48</f>
        <v/>
      </c>
      <c r="BL48" s="351">
        <f>AY48</f>
        <v/>
      </c>
      <c r="BM48" s="345">
        <f>IF($W48&gt;$F$16,$F$56,0)</f>
        <v/>
      </c>
      <c r="BN48" s="346">
        <f>SUM(BH48:BM48)</f>
        <v/>
      </c>
      <c r="BO48" s="351">
        <f>IF($W48=$F$16,$P$32,0)</f>
        <v/>
      </c>
      <c r="BP48" s="351">
        <f>IF(AND(W48&gt;$F$16,W48&lt;=SUM($F$16:$F$17)),$P$41,0)</f>
        <v/>
      </c>
      <c r="BQ48" s="351">
        <f>IFERROR(-IPMT($P$67,W48-$F$16,$F$17,SUM(P$31,P$51)),0)</f>
        <v/>
      </c>
      <c r="BR48" s="351">
        <f>IF($W48&lt;=$O$16,$F$105,0)</f>
        <v/>
      </c>
      <c r="BS48" s="353">
        <f>IF($W48=1,SUM($O$103,$O$105),0)</f>
        <v/>
      </c>
      <c r="BT48" s="351">
        <f>IF($W48&lt;$O$16,IF(W48=$F$16,$P$93,$P$94),0)</f>
        <v/>
      </c>
      <c r="BU48" s="346">
        <f>SUM(BO48:BP48,BR48:BT48)</f>
        <v/>
      </c>
      <c r="BV48" s="346">
        <f>BN48-BU48</f>
        <v/>
      </c>
      <c r="BW48" s="342" t="n"/>
      <c r="BX48" s="338">
        <f>IFERROR(-PPMT($P$67,$W48-$F$16,$F$17,SUM(P$31,P$51)),0)</f>
        <v/>
      </c>
      <c r="BY48" s="356">
        <f>IF(BV48-BX48&gt;=0,0,1)</f>
        <v/>
      </c>
    </row>
    <row r="49" ht="15.75" customHeight="1" s="302">
      <c r="B49" s="93" t="inlineStr">
        <is>
          <t>2.6調整項目</t>
        </is>
      </c>
      <c r="M49" s="0" t="inlineStr">
        <is>
          <t>開業前SPC経費</t>
        </is>
      </c>
      <c r="N49" s="19" t="inlineStr">
        <is>
          <t>百万円</t>
        </is>
      </c>
      <c r="O49" s="368" t="n"/>
      <c r="P49" s="369">
        <f>F105*$F$16</f>
        <v/>
      </c>
      <c r="V49" s="58">
        <f>IF(W49=1,DATE(YEAR($F$18)+(MONTH($F$18)&gt;=4),4,0),EOMONTH(V48,12))</f>
        <v/>
      </c>
      <c r="W49" s="26" t="n">
        <v>33</v>
      </c>
      <c r="X49" s="282">
        <f>IF(W49&gt;$O$16,"-",IF($W49&lt;=$F$16,"整備期間","維持管理・運営期間"))</f>
        <v/>
      </c>
      <c r="Y49" s="344">
        <f>IF($W49=$F$16,$O$61,0)</f>
        <v/>
      </c>
      <c r="Z49" s="345">
        <f>IF($W49=$F$16,$O$63,0)</f>
        <v/>
      </c>
      <c r="AA49" s="345">
        <f>IF($W49=$F$16,$O$62,0)</f>
        <v/>
      </c>
      <c r="AB49" s="345">
        <f>IF(X49="維持管理・運営期間",$F$56,0)</f>
        <v/>
      </c>
      <c r="AC49" s="346">
        <f>SUM(Y49:Z49,AB49)</f>
        <v/>
      </c>
      <c r="AD49" s="344">
        <f>IF($W49=$F$16,$O$30,0)</f>
        <v/>
      </c>
      <c r="AE49" s="345">
        <f>IF($X49="維持管理・運営期間",$O$41,0)</f>
        <v/>
      </c>
      <c r="AF49" s="345">
        <f>IF(AND($W49&gt;0,$W49&lt;=$O$16),$E$45,0)</f>
        <v/>
      </c>
      <c r="AG49" s="345">
        <f>IF(AND(SUM($AA$16:AA48)&gt;0,SUM($AG$16:AG48)&lt;$O$62,$W49&gt;=$O$65),$O$64,0)</f>
        <v/>
      </c>
      <c r="AH49" s="353">
        <f>IF(SUM($AA$17:$AA48)&gt;0,($O$62-SUM($AG$17:$AG48))*$E$65,0)</f>
        <v/>
      </c>
      <c r="AI49" s="346">
        <f>SUM(AD49:AF49)</f>
        <v/>
      </c>
      <c r="AJ49" s="351">
        <f>AC49-AI49</f>
        <v/>
      </c>
      <c r="AK49" s="338">
        <f>(SUM($P$31,$P$51)-SUM($AU$17:AU48))*$O$109</f>
        <v/>
      </c>
      <c r="AL49" s="348" t="n"/>
      <c r="AM49" s="352">
        <f>AJ49*$BF49</f>
        <v/>
      </c>
      <c r="AN49" s="349" t="n"/>
      <c r="AO49" s="350">
        <f>IF($W49=$F$16,$P$61,0)</f>
        <v/>
      </c>
      <c r="AP49" s="351">
        <f>IF($W49=$F$16,$P$63,0)</f>
        <v/>
      </c>
      <c r="AQ49" s="351">
        <f>IF($W49=$F$16,$P$62,0)</f>
        <v/>
      </c>
      <c r="AR49" s="345">
        <f>IF($W49&lt;$O$16,IF(W49=$F$16,$U$92,$U$93),0)</f>
        <v/>
      </c>
      <c r="AS49" s="346">
        <f>SUM(AO49:AP49,AR49)</f>
        <v/>
      </c>
      <c r="AT49" s="345">
        <f>IF(W49=$F$16,$P$30,0)</f>
        <v/>
      </c>
      <c r="AU49" s="345">
        <f>IFERROR(-PPMT($P$36,W49-$F$16,$F$17,SUM(P$31,P$51)),0)</f>
        <v/>
      </c>
      <c r="AV49" s="345">
        <f>IFERROR(-IPMT($P$36,W49-$F$16,$F$17,SUM($P$31,$P$51)),0)</f>
        <v/>
      </c>
      <c r="AW49" s="345">
        <f>IF(AND(W49&gt;$F$16,W49&lt;=SUM($F$16:$F$17)),$P$43,0)</f>
        <v/>
      </c>
      <c r="AX49" s="345">
        <f>IF($W49=1,$F$44,0)+IF(AND($W49&gt;0,$W49&lt;=$O$16),$F$45,0)</f>
        <v/>
      </c>
      <c r="AY49" s="345">
        <f>IF(AND(W49&gt;$F$16,W49&lt;=SUM($F$16:$F$17)),$P$54,0)</f>
        <v/>
      </c>
      <c r="AZ49" s="345">
        <f>IF(AND(SUM($AQ$16:AQ48)&gt;0,SUM($AZ$16:AZ48)&lt;$P$62,$W49&gt;=$P$65),$P$64,0)</f>
        <v/>
      </c>
      <c r="BA49" s="345">
        <f>IF(SUM($AQ$17:$AQ48)&gt;0,($P$62-SUM($AZ$17:$AZ48))*$F$65,0)</f>
        <v/>
      </c>
      <c r="BB49" s="346">
        <f>SUM(AT49:AY49)</f>
        <v/>
      </c>
      <c r="BC49" s="351">
        <f>AS49-BB49</f>
        <v/>
      </c>
      <c r="BD49" s="352">
        <f>BC49*$BF49</f>
        <v/>
      </c>
      <c r="BE49" s="393" t="n"/>
      <c r="BF49" s="47">
        <f>BF48/(1+$O$22)</f>
        <v/>
      </c>
      <c r="BH49" s="350">
        <f>AT49</f>
        <v/>
      </c>
      <c r="BI49" s="350">
        <f>AU49</f>
        <v/>
      </c>
      <c r="BJ49" s="351">
        <f>AV49</f>
        <v/>
      </c>
      <c r="BK49" s="351">
        <f>AW49</f>
        <v/>
      </c>
      <c r="BL49" s="351">
        <f>AY49</f>
        <v/>
      </c>
      <c r="BM49" s="345">
        <f>IF($W49&gt;$F$16,$F$56,0)</f>
        <v/>
      </c>
      <c r="BN49" s="346">
        <f>SUM(BH49:BM49)</f>
        <v/>
      </c>
      <c r="BO49" s="351">
        <f>IF($W49=$F$16,$P$32,0)</f>
        <v/>
      </c>
      <c r="BP49" s="351">
        <f>IF(AND(W49&gt;$F$16,W49&lt;=SUM($F$16:$F$17)),$P$41,0)</f>
        <v/>
      </c>
      <c r="BQ49" s="351">
        <f>IFERROR(-IPMT($P$67,W49-$F$16,$F$17,SUM(P$31,P$51)),0)</f>
        <v/>
      </c>
      <c r="BR49" s="351">
        <f>IF($W49&lt;=$O$16,$F$105,0)</f>
        <v/>
      </c>
      <c r="BS49" s="353">
        <f>IF($W49=1,SUM($O$103,$O$105),0)</f>
        <v/>
      </c>
      <c r="BT49" s="351">
        <f>IF($W49&lt;$O$16,IF(W49=$F$16,$P$93,$P$94),0)</f>
        <v/>
      </c>
      <c r="BU49" s="346">
        <f>SUM(BO49:BP49,BR49:BT49)</f>
        <v/>
      </c>
      <c r="BV49" s="346">
        <f>BN49-BU49</f>
        <v/>
      </c>
      <c r="BW49" s="342" t="n"/>
      <c r="BX49" s="338">
        <f>IFERROR(-PPMT($P$67,$W49-$F$16,$F$17,SUM(P$31,P$51)),0)</f>
        <v/>
      </c>
      <c r="BY49" s="356">
        <f>IF(BV49-BX49&gt;=0,0,1)</f>
        <v/>
      </c>
    </row>
    <row r="50" ht="15.75" customHeight="1" s="302" thickBot="1">
      <c r="C50" s="56" t="inlineStr">
        <is>
          <t>競争の効果反映</t>
        </is>
      </c>
      <c r="D50" s="0" t="inlineStr">
        <is>
          <t>％</t>
        </is>
      </c>
      <c r="F50" s="268" t="n">
        <v>0.95</v>
      </c>
      <c r="H50" s="56" t="inlineStr">
        <is>
          <t>*デフォルト値として記載</t>
        </is>
      </c>
      <c r="M50" s="0" t="inlineStr">
        <is>
          <t>引渡時SPC税金負担</t>
        </is>
      </c>
      <c r="N50" s="19" t="inlineStr">
        <is>
          <t>百万円</t>
        </is>
      </c>
      <c r="O50" s="368" t="n"/>
      <c r="P50" s="369">
        <f>SUM(P82,P86)+P92</f>
        <v/>
      </c>
      <c r="Q50" s="0" t="inlineStr">
        <is>
          <t>引渡時の不動産取得税・登録免許税</t>
        </is>
      </c>
      <c r="V50" s="58">
        <f>IF(W50=1,DATE(YEAR($F$18)+(MONTH($F$18)&gt;=4),4,0),EOMONTH(V49,12))</f>
        <v/>
      </c>
      <c r="W50" s="26" t="n">
        <v>34</v>
      </c>
      <c r="X50" s="282">
        <f>IF(W50&gt;$O$16,"-",IF($W50&lt;=$F$16,"整備期間","維持管理・運営期間"))</f>
        <v/>
      </c>
      <c r="Y50" s="344">
        <f>IF($W50=$F$16,$O$61,0)</f>
        <v/>
      </c>
      <c r="Z50" s="345">
        <f>IF($W50=$F$16,$O$63,0)</f>
        <v/>
      </c>
      <c r="AA50" s="345">
        <f>IF($W50=$F$16,$O$62,0)</f>
        <v/>
      </c>
      <c r="AB50" s="345">
        <f>IF(X50="維持管理・運営期間",$F$56,0)</f>
        <v/>
      </c>
      <c r="AC50" s="346">
        <f>SUM(Y50:Z50,AB50)</f>
        <v/>
      </c>
      <c r="AD50" s="344">
        <f>IF($W50=$F$16,$O$30,0)</f>
        <v/>
      </c>
      <c r="AE50" s="345">
        <f>IF($X50="維持管理・運営期間",$O$41,0)</f>
        <v/>
      </c>
      <c r="AF50" s="345">
        <f>IF(AND($W50&gt;0,$W50&lt;=$O$16),$E$45,0)</f>
        <v/>
      </c>
      <c r="AG50" s="345">
        <f>IF(AND(SUM($AA$16:AA49)&gt;0,SUM($AG$16:AG49)&lt;$O$62,$W50&gt;=$O$65),$O$64,0)</f>
        <v/>
      </c>
      <c r="AH50" s="353">
        <f>IF(SUM($AA$17:$AA49)&gt;0,($O$62-SUM($AG$17:$AG49))*$E$65,0)</f>
        <v/>
      </c>
      <c r="AI50" s="346">
        <f>SUM(AD50:AF50)</f>
        <v/>
      </c>
      <c r="AJ50" s="351">
        <f>AC50-AI50</f>
        <v/>
      </c>
      <c r="AK50" s="338">
        <f>(SUM($P$31,$P$51)-SUM($AU$17:AU49))*$O$109</f>
        <v/>
      </c>
      <c r="AL50" s="348" t="n"/>
      <c r="AM50" s="352">
        <f>AJ50*$BF50</f>
        <v/>
      </c>
      <c r="AN50" s="349" t="n"/>
      <c r="AO50" s="350">
        <f>IF($W50=$F$16,$P$61,0)</f>
        <v/>
      </c>
      <c r="AP50" s="351">
        <f>IF($W50=$F$16,$P$63,0)</f>
        <v/>
      </c>
      <c r="AQ50" s="351">
        <f>IF($W50=$F$16,$P$62,0)</f>
        <v/>
      </c>
      <c r="AR50" s="345">
        <f>IF($W50&lt;$O$16,IF(W50=$F$16,$U$92,$U$93),0)</f>
        <v/>
      </c>
      <c r="AS50" s="346">
        <f>SUM(AO50:AP50,AR50)</f>
        <v/>
      </c>
      <c r="AT50" s="345">
        <f>IF(W50=$F$16,$P$30,0)</f>
        <v/>
      </c>
      <c r="AU50" s="345">
        <f>IFERROR(-PPMT($P$36,W50-$F$16,$F$17,SUM(P$31,P$51)),0)</f>
        <v/>
      </c>
      <c r="AV50" s="345">
        <f>IFERROR(-IPMT($P$36,W50-$F$16,$F$17,SUM($P$31,$P$51)),0)</f>
        <v/>
      </c>
      <c r="AW50" s="345">
        <f>IF(AND(W50&gt;$F$16,W50&lt;=SUM($F$16:$F$17)),$P$43,0)</f>
        <v/>
      </c>
      <c r="AX50" s="345">
        <f>IF($W50=1,$F$44,0)+IF(AND($W50&gt;0,$W50&lt;=$O$16),$F$45,0)</f>
        <v/>
      </c>
      <c r="AY50" s="345">
        <f>IF(AND(W50&gt;$F$16,W50&lt;=SUM($F$16:$F$17)),$P$54,0)</f>
        <v/>
      </c>
      <c r="AZ50" s="345">
        <f>IF(AND(SUM($AQ$16:AQ49)&gt;0,SUM($AZ$16:AZ49)&lt;$P$62,$W50&gt;=$P$65),$P$64,0)</f>
        <v/>
      </c>
      <c r="BA50" s="345">
        <f>IF(SUM($AQ$17:$AQ49)&gt;0,($P$62-SUM($AZ$17:$AZ49))*$F$65,0)</f>
        <v/>
      </c>
      <c r="BB50" s="346">
        <f>SUM(AT50:AY50)</f>
        <v/>
      </c>
      <c r="BC50" s="351">
        <f>AS50-BB50</f>
        <v/>
      </c>
      <c r="BD50" s="352">
        <f>BC50*$BF50</f>
        <v/>
      </c>
      <c r="BE50" s="393" t="n"/>
      <c r="BF50" s="47">
        <f>BF49/(1+$O$22)</f>
        <v/>
      </c>
      <c r="BH50" s="350">
        <f>AT50</f>
        <v/>
      </c>
      <c r="BI50" s="350">
        <f>AU50</f>
        <v/>
      </c>
      <c r="BJ50" s="351">
        <f>AV50</f>
        <v/>
      </c>
      <c r="BK50" s="351">
        <f>AW50</f>
        <v/>
      </c>
      <c r="BL50" s="351">
        <f>AY50</f>
        <v/>
      </c>
      <c r="BM50" s="345">
        <f>IF($W50&gt;$F$16,$F$56,0)</f>
        <v/>
      </c>
      <c r="BN50" s="346">
        <f>SUM(BH50:BM50)</f>
        <v/>
      </c>
      <c r="BO50" s="351">
        <f>IF($W50=$F$16,$P$32,0)</f>
        <v/>
      </c>
      <c r="BP50" s="351">
        <f>IF(AND(W50&gt;$F$16,W50&lt;=SUM($F$16:$F$17)),$P$41,0)</f>
        <v/>
      </c>
      <c r="BQ50" s="351">
        <f>IFERROR(-IPMT($P$67,W50-$F$16,$F$17,SUM(P$31,P$51)),0)</f>
        <v/>
      </c>
      <c r="BR50" s="351">
        <f>IF($W50&lt;=$O$16,$F$105,0)</f>
        <v/>
      </c>
      <c r="BS50" s="353">
        <f>IF($W50=1,SUM($O$103,$O$105),0)</f>
        <v/>
      </c>
      <c r="BT50" s="351">
        <f>IF($W50&lt;$O$16,IF(W50=$F$16,$P$93,$P$94),0)</f>
        <v/>
      </c>
      <c r="BU50" s="346">
        <f>SUM(BO50:BP50,BR50:BT50)</f>
        <v/>
      </c>
      <c r="BV50" s="346">
        <f>BN50-BU50</f>
        <v/>
      </c>
      <c r="BW50" s="342" t="n"/>
      <c r="BX50" s="338">
        <f>IFERROR(-PPMT($P$67,$W50-$F$16,$F$17,SUM(P$31,P$51)),0)</f>
        <v/>
      </c>
      <c r="BY50" s="356">
        <f>IF(BV50-BX50&gt;=0,0,1)</f>
        <v/>
      </c>
    </row>
    <row r="51" ht="15.75" customHeight="1" s="302" thickBot="1">
      <c r="B51" s="56" t="n"/>
      <c r="C51" s="56" t="inlineStr">
        <is>
          <t>民間が実施する場合の削減率（施設整備）</t>
        </is>
      </c>
      <c r="D51" s="0" t="inlineStr">
        <is>
          <t>％</t>
        </is>
      </c>
      <c r="F51" s="199">
        <f>事業費用概算!H32</f>
        <v/>
      </c>
      <c r="K51" s="124" t="inlineStr">
        <is>
          <t>サービス購入費（設立時費用）*サービス購入費に含める場合</t>
        </is>
      </c>
      <c r="L51" s="125" t="n"/>
      <c r="M51" s="125" t="n"/>
      <c r="N51" s="126" t="inlineStr">
        <is>
          <t>百万円</t>
        </is>
      </c>
      <c r="O51" s="370" t="n"/>
      <c r="P51" s="371">
        <f>SUM(P48:P49)*$F$47</f>
        <v/>
      </c>
      <c r="Q51" s="0" t="inlineStr">
        <is>
          <t>割賦元本に加算</t>
        </is>
      </c>
      <c r="V51" s="58">
        <f>IF(W51=1,DATE(YEAR($F$18)+(MONTH($F$18)&gt;=4),4,0),EOMONTH(V50,12))</f>
        <v/>
      </c>
      <c r="W51" s="26" t="n">
        <v>35</v>
      </c>
      <c r="X51" s="282">
        <f>IF(W51&gt;$O$16,"-",IF($W51&lt;=$F$16,"整備期間","維持管理・運営期間"))</f>
        <v/>
      </c>
      <c r="Y51" s="344">
        <f>IF($W51=$F$16,$O$61,0)</f>
        <v/>
      </c>
      <c r="Z51" s="345">
        <f>IF($W51=$F$16,$O$63,0)</f>
        <v/>
      </c>
      <c r="AA51" s="345">
        <f>IF($W51=$F$16,$O$62,0)</f>
        <v/>
      </c>
      <c r="AB51" s="345">
        <f>IF(X51="維持管理・運営期間",$F$56,0)</f>
        <v/>
      </c>
      <c r="AC51" s="346">
        <f>SUM(Y51:Z51,AB51)</f>
        <v/>
      </c>
      <c r="AD51" s="344">
        <f>IF($W51=$F$16,$O$30,0)</f>
        <v/>
      </c>
      <c r="AE51" s="345">
        <f>IF($X51="維持管理・運営期間",$O$41,0)</f>
        <v/>
      </c>
      <c r="AF51" s="345">
        <f>IF(AND($W51&gt;0,$W51&lt;=$O$16),$E$45,0)</f>
        <v/>
      </c>
      <c r="AG51" s="345">
        <f>IF(AND(SUM($AA$16:AA50)&gt;0,SUM($AG$16:AG50)&lt;$O$62,$W51&gt;=$O$65),$O$64,0)</f>
        <v/>
      </c>
      <c r="AH51" s="353">
        <f>IF(SUM($AA$17:$AA50)&gt;0,($O$62-SUM($AG$17:$AG50))*$E$65,0)</f>
        <v/>
      </c>
      <c r="AI51" s="346">
        <f>SUM(AD51:AF51)</f>
        <v/>
      </c>
      <c r="AJ51" s="351">
        <f>AC51-AI51</f>
        <v/>
      </c>
      <c r="AK51" s="338">
        <f>(SUM($P$31,$P$51)-SUM($AU$17:AU50))*$O$109</f>
        <v/>
      </c>
      <c r="AL51" s="348" t="n"/>
      <c r="AM51" s="352">
        <f>AJ51*$BF51</f>
        <v/>
      </c>
      <c r="AN51" s="349" t="n"/>
      <c r="AO51" s="350">
        <f>IF($W51=$F$16,$P$61,0)</f>
        <v/>
      </c>
      <c r="AP51" s="351">
        <f>IF($W51=$F$16,$P$63,0)</f>
        <v/>
      </c>
      <c r="AQ51" s="351">
        <f>IF($W51=$F$16,$P$62,0)</f>
        <v/>
      </c>
      <c r="AR51" s="345">
        <f>IF($W51&lt;$O$16,IF(W51=$F$16,$U$92,$U$93),0)</f>
        <v/>
      </c>
      <c r="AS51" s="346">
        <f>SUM(AO51:AP51,AR51)</f>
        <v/>
      </c>
      <c r="AT51" s="345">
        <f>IF(W51=$F$16,$P$30,0)</f>
        <v/>
      </c>
      <c r="AU51" s="345">
        <f>IFERROR(-PPMT($P$36,W51-$F$16,$F$17,SUM(P$31,P$51)),0)</f>
        <v/>
      </c>
      <c r="AV51" s="345">
        <f>IFERROR(-IPMT($P$36,W51-$F$16,$F$17,SUM($P$31,$P$51)),0)</f>
        <v/>
      </c>
      <c r="AW51" s="345">
        <f>IF(AND(W51&gt;$F$16,W51&lt;=SUM($F$16:$F$17)),$P$43,0)</f>
        <v/>
      </c>
      <c r="AX51" s="345">
        <f>IF($W51=1,$F$44,0)+IF(AND($W51&gt;0,$W51&lt;=$O$16),$F$45,0)</f>
        <v/>
      </c>
      <c r="AY51" s="345">
        <f>IF(AND(W51&gt;$F$16,W51&lt;=SUM($F$16:$F$17)),$P$54,0)</f>
        <v/>
      </c>
      <c r="AZ51" s="345">
        <f>IF(AND(SUM($AQ$16:AQ50)&gt;0,SUM($AZ$16:AZ50)&lt;$P$62,$W51&gt;=$P$65),$P$64,0)</f>
        <v/>
      </c>
      <c r="BA51" s="345">
        <f>IF(SUM($AQ$17:$AQ50)&gt;0,($P$62-SUM($AZ$17:$AZ50))*$F$65,0)</f>
        <v/>
      </c>
      <c r="BB51" s="346">
        <f>SUM(AT51:AY51)</f>
        <v/>
      </c>
      <c r="BC51" s="351">
        <f>AS51-BB51</f>
        <v/>
      </c>
      <c r="BD51" s="352">
        <f>BC51*$BF51</f>
        <v/>
      </c>
      <c r="BE51" s="393" t="n"/>
      <c r="BF51" s="47">
        <f>BF50/(1+$O$22)</f>
        <v/>
      </c>
      <c r="BH51" s="350">
        <f>AT51</f>
        <v/>
      </c>
      <c r="BI51" s="350">
        <f>AU51</f>
        <v/>
      </c>
      <c r="BJ51" s="351">
        <f>AV51</f>
        <v/>
      </c>
      <c r="BK51" s="351">
        <f>AW51</f>
        <v/>
      </c>
      <c r="BL51" s="351">
        <f>AY51</f>
        <v/>
      </c>
      <c r="BM51" s="345">
        <f>IF($W51&gt;$F$16,$F$56,0)</f>
        <v/>
      </c>
      <c r="BN51" s="346">
        <f>SUM(BH51:BM51)</f>
        <v/>
      </c>
      <c r="BO51" s="351">
        <f>IF($W51=$F$16,$P$32,0)</f>
        <v/>
      </c>
      <c r="BP51" s="351">
        <f>IF(AND(W51&gt;$F$16,W51&lt;=SUM($F$16:$F$17)),$P$41,0)</f>
        <v/>
      </c>
      <c r="BQ51" s="351">
        <f>IFERROR(-IPMT($P$67,W51-$F$16,$F$17,SUM(P$31,P$51)),0)</f>
        <v/>
      </c>
      <c r="BR51" s="351">
        <f>IF($W51&lt;=$O$16,$F$105,0)</f>
        <v/>
      </c>
      <c r="BS51" s="353">
        <f>IF($W51=1,SUM($O$103,$O$105),0)</f>
        <v/>
      </c>
      <c r="BT51" s="351">
        <f>IF($W51&lt;$O$16,IF(W51=$F$16,$P$93,$P$94),0)</f>
        <v/>
      </c>
      <c r="BU51" s="346">
        <f>SUM(BO51:BP51,BR51:BT51)</f>
        <v/>
      </c>
      <c r="BV51" s="346">
        <f>BN51-BU51</f>
        <v/>
      </c>
      <c r="BW51" s="342" t="n"/>
      <c r="BX51" s="338">
        <f>IFERROR(-PPMT($P$67,$W51-$F$16,$F$17,SUM(P$31,P$51)),0)</f>
        <v/>
      </c>
      <c r="BY51" s="356">
        <f>IF(BV51-BX51&gt;=0,0,1)</f>
        <v/>
      </c>
    </row>
    <row r="52" ht="15.75" customHeight="1" s="302">
      <c r="B52" s="56" t="n"/>
      <c r="C52" s="56" t="inlineStr">
        <is>
          <t>民間が実施する場合の削減率（維持管理運営）</t>
        </is>
      </c>
      <c r="D52" s="0" t="inlineStr">
        <is>
          <t>％</t>
        </is>
      </c>
      <c r="F52" s="199">
        <f>事業費用概算!H33</f>
        <v/>
      </c>
      <c r="M52" s="0" t="inlineStr">
        <is>
          <t>SPC経費　年額</t>
        </is>
      </c>
      <c r="N52" s="19" t="inlineStr">
        <is>
          <t>百万円</t>
        </is>
      </c>
      <c r="O52" s="372" t="n"/>
      <c r="P52" s="373">
        <f>F105</f>
        <v/>
      </c>
      <c r="V52" s="58">
        <f>IF(W52=1,DATE(YEAR($F$18)+(MONTH($F$18)&gt;=4),4,0),EOMONTH(V51,12))</f>
        <v/>
      </c>
      <c r="W52" s="26" t="n">
        <v>36</v>
      </c>
      <c r="X52" s="282">
        <f>IF(W52&gt;$O$16,"-",IF($W52&lt;=$F$16,"整備期間","維持管理・運営期間"))</f>
        <v/>
      </c>
      <c r="Y52" s="344">
        <f>IF($W52=$F$16,$O$61,0)</f>
        <v/>
      </c>
      <c r="Z52" s="345">
        <f>IF($W52=$F$16,$O$63,0)</f>
        <v/>
      </c>
      <c r="AA52" s="345">
        <f>IF($W52=$F$16,$O$62,0)</f>
        <v/>
      </c>
      <c r="AB52" s="345">
        <f>IF(X52="維持管理・運営期間",$F$56,0)</f>
        <v/>
      </c>
      <c r="AC52" s="346">
        <f>SUM(Y52:Z52,AB52)</f>
        <v/>
      </c>
      <c r="AD52" s="344">
        <f>IF($W52=$F$16,$O$30,0)</f>
        <v/>
      </c>
      <c r="AE52" s="345">
        <f>IF($X52="維持管理・運営期間",$O$41,0)</f>
        <v/>
      </c>
      <c r="AF52" s="345">
        <f>IF(AND($W52&gt;0,$W52&lt;=$O$16),$E$45,0)</f>
        <v/>
      </c>
      <c r="AG52" s="345">
        <f>IF(AND(SUM($AA$16:AA51)&gt;0,SUM($AG$16:AG51)&lt;$O$62,$W52&gt;=$O$65),$O$64,0)</f>
        <v/>
      </c>
      <c r="AH52" s="353">
        <f>IF(SUM($AA$17:$AA51)&gt;0,($O$62-SUM($AG$17:$AG51))*$E$65,0)</f>
        <v/>
      </c>
      <c r="AI52" s="346">
        <f>SUM(AD52:AF52)</f>
        <v/>
      </c>
      <c r="AJ52" s="351">
        <f>AC52-AI52</f>
        <v/>
      </c>
      <c r="AK52" s="338">
        <f>(SUM($P$31,$P$51)-SUM($AU$17:AU51))*$O$109</f>
        <v/>
      </c>
      <c r="AL52" s="348" t="n"/>
      <c r="AM52" s="352">
        <f>AJ52*$BF52</f>
        <v/>
      </c>
      <c r="AN52" s="349" t="n"/>
      <c r="AO52" s="350">
        <f>IF($W52=$F$16,$P$61,0)</f>
        <v/>
      </c>
      <c r="AP52" s="351">
        <f>IF($W52=$F$16,$P$63,0)</f>
        <v/>
      </c>
      <c r="AQ52" s="351">
        <f>IF($W52=$F$16,$P$62,0)</f>
        <v/>
      </c>
      <c r="AR52" s="345">
        <f>IF($W52&lt;$O$16,IF(W52=$F$16,$U$92,$U$93),0)</f>
        <v/>
      </c>
      <c r="AS52" s="346">
        <f>SUM(AO52:AP52,AR52)</f>
        <v/>
      </c>
      <c r="AT52" s="345">
        <f>IF(W52=$F$16,$P$30,0)</f>
        <v/>
      </c>
      <c r="AU52" s="345">
        <f>IFERROR(-PPMT($P$36,W52-$F$16,$F$17,SUM(P$31,P$51)),0)</f>
        <v/>
      </c>
      <c r="AV52" s="345">
        <f>IFERROR(-IPMT($P$36,W52-$F$16,$F$17,SUM($P$31,$P$51)),0)</f>
        <v/>
      </c>
      <c r="AW52" s="345">
        <f>IF(AND(W52&gt;$F$16,W52&lt;=SUM($F$16:$F$17)),$P$43,0)</f>
        <v/>
      </c>
      <c r="AX52" s="345">
        <f>IF($W52=1,$F$44,0)+IF(AND($W52&gt;0,$W52&lt;=$O$16),$F$45,0)</f>
        <v/>
      </c>
      <c r="AY52" s="345">
        <f>IF(AND(W52&gt;$F$16,W52&lt;=SUM($F$16:$F$17)),$P$54,0)</f>
        <v/>
      </c>
      <c r="AZ52" s="345">
        <f>IF(AND(SUM($AQ$16:AQ51)&gt;0,SUM($AZ$16:AZ51)&lt;$P$62,$W52&gt;=$P$65),$P$64,0)</f>
        <v/>
      </c>
      <c r="BA52" s="345">
        <f>IF(SUM($AQ$17:$AQ51)&gt;0,($P$62-SUM($AZ$17:$AZ51))*$F$65,0)</f>
        <v/>
      </c>
      <c r="BB52" s="346">
        <f>SUM(AT52:AY52)</f>
        <v/>
      </c>
      <c r="BC52" s="351">
        <f>AS52-BB52</f>
        <v/>
      </c>
      <c r="BD52" s="352">
        <f>BC52*$BF52</f>
        <v/>
      </c>
      <c r="BE52" s="393" t="n"/>
      <c r="BF52" s="47">
        <f>BF51/(1+$O$22)</f>
        <v/>
      </c>
      <c r="BH52" s="350">
        <f>AT52</f>
        <v/>
      </c>
      <c r="BI52" s="350">
        <f>AU52</f>
        <v/>
      </c>
      <c r="BJ52" s="351">
        <f>AV52</f>
        <v/>
      </c>
      <c r="BK52" s="351">
        <f>AW52</f>
        <v/>
      </c>
      <c r="BL52" s="351">
        <f>AY52</f>
        <v/>
      </c>
      <c r="BM52" s="345">
        <f>IF($W52&gt;$F$16,$F$56,0)</f>
        <v/>
      </c>
      <c r="BN52" s="346">
        <f>SUM(BH52:BM52)</f>
        <v/>
      </c>
      <c r="BO52" s="351">
        <f>IF($W52=$F$16,$P$32,0)</f>
        <v/>
      </c>
      <c r="BP52" s="351">
        <f>IF(AND(W52&gt;$F$16,W52&lt;=SUM($F$16:$F$17)),$P$41,0)</f>
        <v/>
      </c>
      <c r="BQ52" s="351">
        <f>IFERROR(-IPMT($P$67,W52-$F$16,$F$17,SUM(P$31,P$51)),0)</f>
        <v/>
      </c>
      <c r="BR52" s="351">
        <f>IF($W52&lt;=$O$16,$F$105,0)</f>
        <v/>
      </c>
      <c r="BS52" s="353">
        <f>IF($W52=1,SUM($O$103,$O$105),0)</f>
        <v/>
      </c>
      <c r="BT52" s="351">
        <f>IF($W52&lt;$O$16,IF(W52=$F$16,$P$93,$P$94),0)</f>
        <v/>
      </c>
      <c r="BU52" s="346">
        <f>SUM(BO52:BP52,BR52:BT52)</f>
        <v/>
      </c>
      <c r="BV52" s="346">
        <f>BN52-BU52</f>
        <v/>
      </c>
      <c r="BW52" s="342" t="n"/>
      <c r="BX52" s="338">
        <f>IFERROR(-PPMT($P$67,$W52-$F$16,$F$17,SUM(P$31,P$51)),0)</f>
        <v/>
      </c>
      <c r="BY52" s="356">
        <f>IF(BV52-BX52&gt;=0,0,1)</f>
        <v/>
      </c>
    </row>
    <row r="53" ht="15.75" customHeight="1" s="302" thickBot="1">
      <c r="M53" s="0" t="inlineStr">
        <is>
          <t>SPC税金負担</t>
        </is>
      </c>
      <c r="N53" s="19" t="inlineStr">
        <is>
          <t>百万円</t>
        </is>
      </c>
      <c r="O53" s="372" t="n"/>
      <c r="P53" s="131">
        <f>P94</f>
        <v/>
      </c>
      <c r="V53" s="58">
        <f>IF(W53=1,DATE(YEAR($F$18)+(MONTH($F$18)&gt;=4),4,0),EOMONTH(V52,12))</f>
        <v/>
      </c>
      <c r="W53" s="26" t="n">
        <v>37</v>
      </c>
      <c r="X53" s="282">
        <f>IF(W53&gt;$O$16,"-",IF($W53&lt;=$F$16,"整備期間","維持管理・運営期間"))</f>
        <v/>
      </c>
      <c r="Y53" s="344">
        <f>IF($W53=$F$16,$O$61,0)</f>
        <v/>
      </c>
      <c r="Z53" s="345">
        <f>IF($W53=$F$16,$O$63,0)</f>
        <v/>
      </c>
      <c r="AA53" s="345">
        <f>IF($W53=$F$16,$O$62,0)</f>
        <v/>
      </c>
      <c r="AB53" s="345">
        <f>IF(X53="維持管理・運営期間",$F$56,0)</f>
        <v/>
      </c>
      <c r="AC53" s="346">
        <f>SUM(Y53:Z53,AB53)</f>
        <v/>
      </c>
      <c r="AD53" s="344">
        <f>IF($W53=$F$16,$O$30,0)</f>
        <v/>
      </c>
      <c r="AE53" s="345">
        <f>IF($X53="維持管理・運営期間",$O$41,0)</f>
        <v/>
      </c>
      <c r="AF53" s="345">
        <f>IF(AND($W53&gt;0,$W53&lt;=$O$16),$E$45,0)</f>
        <v/>
      </c>
      <c r="AG53" s="345">
        <f>IF(AND(SUM($AA$16:AA52)&gt;0,SUM($AG$16:AG52)&lt;$O$62,$W53&gt;=$O$65),$O$64,0)</f>
        <v/>
      </c>
      <c r="AH53" s="353">
        <f>IF(SUM($AA$17:$AA52)&gt;0,($O$62-SUM($AG$17:$AG52))*$E$65,0)</f>
        <v/>
      </c>
      <c r="AI53" s="346">
        <f>SUM(AD53:AF53)</f>
        <v/>
      </c>
      <c r="AJ53" s="351">
        <f>AC53-AI53</f>
        <v/>
      </c>
      <c r="AK53" s="338">
        <f>(SUM($P$31,$P$51)-SUM($AU$17:AU52))*$O$109</f>
        <v/>
      </c>
      <c r="AL53" s="348" t="n"/>
      <c r="AM53" s="352">
        <f>AJ53*$BF53</f>
        <v/>
      </c>
      <c r="AN53" s="349" t="n"/>
      <c r="AO53" s="350">
        <f>IF($W53=$F$16,$P$61,0)</f>
        <v/>
      </c>
      <c r="AP53" s="351">
        <f>IF($W53=$F$16,$P$63,0)</f>
        <v/>
      </c>
      <c r="AQ53" s="351">
        <f>IF($W53=$F$16,$P$62,0)</f>
        <v/>
      </c>
      <c r="AR53" s="345">
        <f>IF($W53&lt;$O$16,IF(W53=$F$16,$U$92,$U$93),0)</f>
        <v/>
      </c>
      <c r="AS53" s="346">
        <f>SUM(AO53:AP53,AR53)</f>
        <v/>
      </c>
      <c r="AT53" s="345">
        <f>IF(W53=$F$16,$P$30,0)</f>
        <v/>
      </c>
      <c r="AU53" s="345">
        <f>IFERROR(-PPMT($P$36,W53-$F$16,$F$17,SUM(P$31,P$51)),0)</f>
        <v/>
      </c>
      <c r="AV53" s="345">
        <f>IFERROR(-IPMT($P$36,W53-$F$16,$F$17,SUM($P$31,$P$51)),0)</f>
        <v/>
      </c>
      <c r="AW53" s="345">
        <f>IF(AND(W53&gt;$F$16,W53&lt;=SUM($F$16:$F$17)),$P$43,0)</f>
        <v/>
      </c>
      <c r="AX53" s="345">
        <f>IF($W53=1,$F$44,0)+IF(AND($W53&gt;0,$W53&lt;=$O$16),$F$45,0)</f>
        <v/>
      </c>
      <c r="AY53" s="345">
        <f>IF(AND(W53&gt;$F$16,W53&lt;=SUM($F$16:$F$17)),$P$54,0)</f>
        <v/>
      </c>
      <c r="AZ53" s="345">
        <f>IF(AND(SUM($AQ$16:AQ52)&gt;0,SUM($AZ$16:AZ52)&lt;$P$62,$W53&gt;=$P$65),$P$64,0)</f>
        <v/>
      </c>
      <c r="BA53" s="345">
        <f>IF(SUM($AQ$17:$AQ52)&gt;0,($P$62-SUM($AZ$17:$AZ52))*$F$65,0)</f>
        <v/>
      </c>
      <c r="BB53" s="346">
        <f>SUM(AT53:AY53)</f>
        <v/>
      </c>
      <c r="BC53" s="351">
        <f>AS53-BB53</f>
        <v/>
      </c>
      <c r="BD53" s="352">
        <f>BC53*$BF53</f>
        <v/>
      </c>
      <c r="BE53" s="393" t="n"/>
      <c r="BF53" s="47">
        <f>BF52/(1+$O$22)</f>
        <v/>
      </c>
      <c r="BH53" s="350">
        <f>AT53</f>
        <v/>
      </c>
      <c r="BI53" s="350">
        <f>AU53</f>
        <v/>
      </c>
      <c r="BJ53" s="351">
        <f>AV53</f>
        <v/>
      </c>
      <c r="BK53" s="351">
        <f>AW53</f>
        <v/>
      </c>
      <c r="BL53" s="351">
        <f>AY53</f>
        <v/>
      </c>
      <c r="BM53" s="345">
        <f>IF($W53&gt;$F$16,$F$56,0)</f>
        <v/>
      </c>
      <c r="BN53" s="346">
        <f>SUM(BH53:BM53)</f>
        <v/>
      </c>
      <c r="BO53" s="351">
        <f>IF($W53=$F$16,$P$32,0)</f>
        <v/>
      </c>
      <c r="BP53" s="351">
        <f>IF(AND(W53&gt;$F$16,W53&lt;=SUM($F$16:$F$17)),$P$41,0)</f>
        <v/>
      </c>
      <c r="BQ53" s="351">
        <f>IFERROR(-IPMT($P$67,W53-$F$16,$F$17,SUM(P$31,P$51)),0)</f>
        <v/>
      </c>
      <c r="BR53" s="351">
        <f>IF($W53&lt;=$O$16,$F$105,0)</f>
        <v/>
      </c>
      <c r="BS53" s="353">
        <f>IF($W53=1,SUM($O$103,$O$105),0)</f>
        <v/>
      </c>
      <c r="BT53" s="351">
        <f>IF($W53&lt;$O$16,IF(W53=$F$16,$P$93,$P$94),0)</f>
        <v/>
      </c>
      <c r="BU53" s="346">
        <f>SUM(BO53:BP53,BR53:BT53)</f>
        <v/>
      </c>
      <c r="BV53" s="346">
        <f>BN53-BU53</f>
        <v/>
      </c>
      <c r="BW53" s="342" t="n"/>
      <c r="BX53" s="338">
        <f>IFERROR(-PPMT($P$67,$W53-$F$16,$F$17,SUM(P$31,P$51)),0)</f>
        <v/>
      </c>
      <c r="BY53" s="356">
        <f>IF(BV53-BX53&gt;=0,0,1)</f>
        <v/>
      </c>
    </row>
    <row r="54" ht="15.75" customHeight="1" s="302" thickBot="1">
      <c r="A54" s="4" t="inlineStr">
        <is>
          <t>３．事業にかかる収入</t>
        </is>
      </c>
      <c r="K54" s="124" t="inlineStr">
        <is>
          <t>サービス購入費（SPC費用等）年額　*サービス購入費に含める場合</t>
        </is>
      </c>
      <c r="L54" s="125" t="n"/>
      <c r="M54" s="125" t="n"/>
      <c r="N54" s="126" t="inlineStr">
        <is>
          <t>百万円</t>
        </is>
      </c>
      <c r="O54" s="370" t="n"/>
      <c r="P54" s="371">
        <f>SUM(P52:P53)*$F$47</f>
        <v/>
      </c>
      <c r="Q54" s="0" t="inlineStr">
        <is>
          <t>別途サービス購入費として支払</t>
        </is>
      </c>
      <c r="V54" s="58">
        <f>IF(W54=1,DATE(YEAR($F$18)+(MONTH($F$18)&gt;=4),4,0),EOMONTH(V53,12))</f>
        <v/>
      </c>
      <c r="W54" s="26" t="n">
        <v>38</v>
      </c>
      <c r="X54" s="282">
        <f>IF(W54&gt;$O$16,"-",IF($W54&lt;=$F$16,"整備期間","維持管理・運営期間"))</f>
        <v/>
      </c>
      <c r="Y54" s="344">
        <f>IF($W54=$F$16,$O$61,0)</f>
        <v/>
      </c>
      <c r="Z54" s="345">
        <f>IF($W54=$F$16,$O$63,0)</f>
        <v/>
      </c>
      <c r="AA54" s="345">
        <f>IF($W54=$F$16,$O$62,0)</f>
        <v/>
      </c>
      <c r="AB54" s="345">
        <f>IF(X54="維持管理・運営期間",$F$56,0)</f>
        <v/>
      </c>
      <c r="AC54" s="346">
        <f>SUM(Y54:Z54,AB54)</f>
        <v/>
      </c>
      <c r="AD54" s="344">
        <f>IF($W54=$F$16,$O$30,0)</f>
        <v/>
      </c>
      <c r="AE54" s="345">
        <f>IF($X54="維持管理・運営期間",$O$41,0)</f>
        <v/>
      </c>
      <c r="AF54" s="345">
        <f>IF(AND($W54&gt;0,$W54&lt;=$O$16),$E$45,0)</f>
        <v/>
      </c>
      <c r="AG54" s="345">
        <f>IF(AND(SUM($AA$16:AA53)&gt;0,SUM($AG$16:AG53)&lt;$O$62,$W54&gt;=$O$65),$O$64,0)</f>
        <v/>
      </c>
      <c r="AH54" s="353">
        <f>IF(SUM($AA$17:$AA53)&gt;0,($O$62-SUM($AG$17:$AG53))*$E$65,0)</f>
        <v/>
      </c>
      <c r="AI54" s="346">
        <f>SUM(AD54:AF54)</f>
        <v/>
      </c>
      <c r="AJ54" s="351">
        <f>AC54-AI54</f>
        <v/>
      </c>
      <c r="AK54" s="338">
        <f>(SUM($P$31,$P$51)-SUM($AU$17:AU53))*$O$109</f>
        <v/>
      </c>
      <c r="AL54" s="348" t="n"/>
      <c r="AM54" s="352">
        <f>AJ54*$BF54</f>
        <v/>
      </c>
      <c r="AN54" s="349" t="n"/>
      <c r="AO54" s="350">
        <f>IF($W54=$F$16,$P$61,0)</f>
        <v/>
      </c>
      <c r="AP54" s="351">
        <f>IF($W54=$F$16,$P$63,0)</f>
        <v/>
      </c>
      <c r="AQ54" s="351">
        <f>IF($W54=$F$16,$P$62,0)</f>
        <v/>
      </c>
      <c r="AR54" s="345">
        <f>IF($W54&lt;$O$16,IF(W54=$F$16,$U$92,$U$93),0)</f>
        <v/>
      </c>
      <c r="AS54" s="346">
        <f>SUM(AO54:AP54,AR54)</f>
        <v/>
      </c>
      <c r="AT54" s="345">
        <f>IF(W54=$F$16,$P$30,0)</f>
        <v/>
      </c>
      <c r="AU54" s="345">
        <f>IFERROR(-PPMT($P$36,W54-$F$16,$F$17,SUM(P$31,P$51)),0)</f>
        <v/>
      </c>
      <c r="AV54" s="345">
        <f>IFERROR(-IPMT($P$36,W54-$F$16,$F$17,SUM($P$31,$P$51)),0)</f>
        <v/>
      </c>
      <c r="AW54" s="345">
        <f>IF(AND(W54&gt;$F$16,W54&lt;=SUM($F$16:$F$17)),$P$43,0)</f>
        <v/>
      </c>
      <c r="AX54" s="345">
        <f>IF($W54=1,$F$44,0)+IF(AND($W54&gt;0,$W54&lt;=$O$16),$F$45,0)</f>
        <v/>
      </c>
      <c r="AY54" s="345">
        <f>IF(AND(W54&gt;$F$16,W54&lt;=SUM($F$16:$F$17)),$P$54,0)</f>
        <v/>
      </c>
      <c r="AZ54" s="345">
        <f>IF(AND(SUM($AQ$16:AQ53)&gt;0,SUM($AZ$16:AZ53)&lt;$P$62,$W54&gt;=$P$65),$P$64,0)</f>
        <v/>
      </c>
      <c r="BA54" s="345">
        <f>IF(SUM($AQ$17:$AQ53)&gt;0,($P$62-SUM($AZ$17:$AZ53))*$F$65,0)</f>
        <v/>
      </c>
      <c r="BB54" s="346">
        <f>SUM(AT54:AY54)</f>
        <v/>
      </c>
      <c r="BC54" s="351">
        <f>AS54-BB54</f>
        <v/>
      </c>
      <c r="BD54" s="352">
        <f>BC54*$BF54</f>
        <v/>
      </c>
      <c r="BE54" s="393" t="n"/>
      <c r="BF54" s="47">
        <f>BF53/(1+$O$22)</f>
        <v/>
      </c>
      <c r="BH54" s="350">
        <f>AT54</f>
        <v/>
      </c>
      <c r="BI54" s="350">
        <f>AU54</f>
        <v/>
      </c>
      <c r="BJ54" s="351">
        <f>AV54</f>
        <v/>
      </c>
      <c r="BK54" s="351">
        <f>AW54</f>
        <v/>
      </c>
      <c r="BL54" s="351">
        <f>AY54</f>
        <v/>
      </c>
      <c r="BM54" s="345">
        <f>IF($W54&gt;$F$16,$F$56,0)</f>
        <v/>
      </c>
      <c r="BN54" s="346">
        <f>SUM(BH54:BM54)</f>
        <v/>
      </c>
      <c r="BO54" s="351">
        <f>IF($W54=$F$16,$P$32,0)</f>
        <v/>
      </c>
      <c r="BP54" s="351">
        <f>IF(AND(W54&gt;$F$16,W54&lt;=SUM($F$16:$F$17)),$P$41,0)</f>
        <v/>
      </c>
      <c r="BQ54" s="351">
        <f>IFERROR(-IPMT($P$67,W54-$F$16,$F$17,SUM(P$31,P$51)),0)</f>
        <v/>
      </c>
      <c r="BR54" s="351">
        <f>IF($W54&lt;=$O$16,$F$105,0)</f>
        <v/>
      </c>
      <c r="BS54" s="353">
        <f>IF($W54=1,SUM($O$103,$O$105),0)</f>
        <v/>
      </c>
      <c r="BT54" s="351">
        <f>IF($W54&lt;$O$16,IF(W54=$F$16,$P$93,$P$94),0)</f>
        <v/>
      </c>
      <c r="BU54" s="346">
        <f>SUM(BO54:BP54,BR54:BT54)</f>
        <v/>
      </c>
      <c r="BV54" s="346">
        <f>BN54-BU54</f>
        <v/>
      </c>
      <c r="BW54" s="342" t="n"/>
      <c r="BX54" s="338">
        <f>IFERROR(-PPMT($P$67,$W54-$F$16,$F$17,SUM(P$31,P$51)),0)</f>
        <v/>
      </c>
      <c r="BY54" s="356">
        <f>IF(BV54-BX54&gt;=0,0,1)</f>
        <v/>
      </c>
    </row>
    <row r="55" ht="15.75" customHeight="1" s="302">
      <c r="V55" s="58">
        <f>IF(W55=1,DATE(YEAR($F$18)+(MONTH($F$18)&gt;=4),4,0),EOMONTH(V54,12))</f>
        <v/>
      </c>
      <c r="W55" s="26" t="n">
        <v>39</v>
      </c>
      <c r="X55" s="282">
        <f>IF(W55&gt;$O$16,"-",IF($W55&lt;=$F$16,"整備期間","維持管理・運営期間"))</f>
        <v/>
      </c>
      <c r="Y55" s="344">
        <f>IF($W55=$F$16,$O$61,0)</f>
        <v/>
      </c>
      <c r="Z55" s="345">
        <f>IF($W55=$F$16,$O$63,0)</f>
        <v/>
      </c>
      <c r="AA55" s="345">
        <f>IF($W55=$F$16,$O$62,0)</f>
        <v/>
      </c>
      <c r="AB55" s="345">
        <f>IF(X55="維持管理・運営期間",$F$56,0)</f>
        <v/>
      </c>
      <c r="AC55" s="346">
        <f>SUM(Y55:Z55,AB55)</f>
        <v/>
      </c>
      <c r="AD55" s="344">
        <f>IF($W55=$F$16,$O$30,0)</f>
        <v/>
      </c>
      <c r="AE55" s="345">
        <f>IF($X55="維持管理・運営期間",$O$41,0)</f>
        <v/>
      </c>
      <c r="AF55" s="345">
        <f>IF(AND($W55&gt;0,$W55&lt;=$O$16),$E$45,0)</f>
        <v/>
      </c>
      <c r="AG55" s="345">
        <f>IF(AND(SUM($AA$16:AA54)&gt;0,SUM($AG$16:AG54)&lt;$O$62,$W55&gt;=$O$65),$O$64,0)</f>
        <v/>
      </c>
      <c r="AH55" s="353">
        <f>IF(SUM($AA$17:$AA54)&gt;0,($O$62-SUM($AG$17:$AG54))*$E$65,0)</f>
        <v/>
      </c>
      <c r="AI55" s="346">
        <f>SUM(AD55:AF55)</f>
        <v/>
      </c>
      <c r="AJ55" s="351">
        <f>AC55-AI55</f>
        <v/>
      </c>
      <c r="AK55" s="338">
        <f>(SUM($P$31,$P$51)-SUM($AU$17:AU54))*$O$109</f>
        <v/>
      </c>
      <c r="AL55" s="348" t="n"/>
      <c r="AM55" s="352">
        <f>AJ55*$BF55</f>
        <v/>
      </c>
      <c r="AN55" s="349" t="n"/>
      <c r="AO55" s="350">
        <f>IF($W55=$F$16,$P$61,0)</f>
        <v/>
      </c>
      <c r="AP55" s="351">
        <f>IF($W55=$F$16,$P$63,0)</f>
        <v/>
      </c>
      <c r="AQ55" s="351">
        <f>IF($W55=$F$16,$P$62,0)</f>
        <v/>
      </c>
      <c r="AR55" s="345">
        <f>IF($W55&lt;$O$16,IF(W55=$F$16,$U$92,$U$93),0)</f>
        <v/>
      </c>
      <c r="AS55" s="346">
        <f>SUM(AO55:AP55,AR55)</f>
        <v/>
      </c>
      <c r="AT55" s="345">
        <f>IF(W55=$F$16,$P$30,0)</f>
        <v/>
      </c>
      <c r="AU55" s="345">
        <f>IFERROR(-PPMT($P$36,W55-$F$16,$F$17,SUM(P$31,P$51)),0)</f>
        <v/>
      </c>
      <c r="AV55" s="345">
        <f>IFERROR(-IPMT($P$36,W55-$F$16,$F$17,SUM($P$31,$P$51)),0)</f>
        <v/>
      </c>
      <c r="AW55" s="345">
        <f>IF(AND(W55&gt;$F$16,W55&lt;=SUM($F$16:$F$17)),$P$43,0)</f>
        <v/>
      </c>
      <c r="AX55" s="345">
        <f>IF($W55=1,$F$44,0)+IF(AND($W55&gt;0,$W55&lt;=$O$16),$F$45,0)</f>
        <v/>
      </c>
      <c r="AY55" s="345">
        <f>IF(AND(W55&gt;$F$16,W55&lt;=SUM($F$16:$F$17)),$P$54,0)</f>
        <v/>
      </c>
      <c r="AZ55" s="345">
        <f>IF(AND(SUM($AQ$16:AQ54)&gt;0,SUM($AZ$16:AZ54)&lt;$P$62,$W55&gt;=$P$65),$P$64,0)</f>
        <v/>
      </c>
      <c r="BA55" s="345">
        <f>IF(SUM($AQ$17:$AQ54)&gt;0,($P$62-SUM($AZ$17:$AZ54))*$F$65,0)</f>
        <v/>
      </c>
      <c r="BB55" s="346">
        <f>SUM(AT55:AY55)</f>
        <v/>
      </c>
      <c r="BC55" s="351">
        <f>AS55-BB55</f>
        <v/>
      </c>
      <c r="BD55" s="352">
        <f>BC55*$BF55</f>
        <v/>
      </c>
      <c r="BE55" s="393" t="n"/>
      <c r="BF55" s="47">
        <f>BF54/(1+$O$22)</f>
        <v/>
      </c>
      <c r="BH55" s="350">
        <f>AT55</f>
        <v/>
      </c>
      <c r="BI55" s="350">
        <f>AU55</f>
        <v/>
      </c>
      <c r="BJ55" s="351">
        <f>AV55</f>
        <v/>
      </c>
      <c r="BK55" s="351">
        <f>AW55</f>
        <v/>
      </c>
      <c r="BL55" s="351">
        <f>AY55</f>
        <v/>
      </c>
      <c r="BM55" s="345">
        <f>IF($W55&gt;$F$16,$F$56,0)</f>
        <v/>
      </c>
      <c r="BN55" s="346">
        <f>SUM(BH55:BM55)</f>
        <v/>
      </c>
      <c r="BO55" s="351">
        <f>IF($W55=$F$16,$P$32,0)</f>
        <v/>
      </c>
      <c r="BP55" s="351">
        <f>IF(AND(W55&gt;$F$16,W55&lt;=SUM($F$16:$F$17)),$P$41,0)</f>
        <v/>
      </c>
      <c r="BQ55" s="351">
        <f>IFERROR(-IPMT($P$67,W55-$F$16,$F$17,SUM(P$31,P$51)),0)</f>
        <v/>
      </c>
      <c r="BR55" s="351">
        <f>IF($W55&lt;=$O$16,$F$105,0)</f>
        <v/>
      </c>
      <c r="BS55" s="353">
        <f>IF($W55=1,SUM($O$103,$O$105),0)</f>
        <v/>
      </c>
      <c r="BT55" s="351">
        <f>IF($W55&lt;$O$16,IF(W55=$F$16,$P$93,$P$94),0)</f>
        <v/>
      </c>
      <c r="BU55" s="346">
        <f>SUM(BO55:BP55,BR55:BT55)</f>
        <v/>
      </c>
      <c r="BV55" s="346">
        <f>BN55-BU55</f>
        <v/>
      </c>
      <c r="BW55" s="342" t="n"/>
      <c r="BX55" s="338">
        <f>IFERROR(-PPMT($P$67,$W55-$F$16,$F$17,SUM(P$31,P$51)),0)</f>
        <v/>
      </c>
      <c r="BY55" s="356">
        <f>IF(BV55-BX55&gt;=0,0,1)</f>
        <v/>
      </c>
    </row>
    <row r="56" ht="15.75" customHeight="1" s="302">
      <c r="C56" s="56" t="inlineStr">
        <is>
          <t>利用料金収入（百万円、年額）</t>
        </is>
      </c>
      <c r="D56" s="0" t="inlineStr">
        <is>
          <t>百万円</t>
        </is>
      </c>
      <c r="F56" s="333" t="n">
        <v>0</v>
      </c>
      <c r="V56" s="58">
        <f>IF(W56=1,DATE(YEAR($F$18)+(MONTH($F$18)&gt;=4),4,0),EOMONTH(V55,12))</f>
        <v/>
      </c>
      <c r="W56" s="26" t="n">
        <v>40</v>
      </c>
      <c r="X56" s="282">
        <f>IF(W56&gt;$O$16,"-",IF($W56&lt;=$F$16,"整備期間","維持管理・運営期間"))</f>
        <v/>
      </c>
      <c r="Y56" s="344">
        <f>IF($W56=$F$16,$O$61,0)</f>
        <v/>
      </c>
      <c r="Z56" s="345">
        <f>IF($W56=$F$16,$O$63,0)</f>
        <v/>
      </c>
      <c r="AA56" s="345">
        <f>IF($W56=$F$16,$O$62,0)</f>
        <v/>
      </c>
      <c r="AB56" s="345">
        <f>IF(X56="維持管理・運営期間",$F$56,0)</f>
        <v/>
      </c>
      <c r="AC56" s="346">
        <f>SUM(Y56:Z56,AB56)</f>
        <v/>
      </c>
      <c r="AD56" s="344">
        <f>IF($W56=$F$16,$O$30,0)</f>
        <v/>
      </c>
      <c r="AE56" s="345">
        <f>IF($X56="維持管理・運営期間",$O$41,0)</f>
        <v/>
      </c>
      <c r="AF56" s="345">
        <f>IF(AND($W56&gt;0,$W56&lt;=$O$16),$E$45,0)</f>
        <v/>
      </c>
      <c r="AG56" s="345">
        <f>IF(AND(SUM($AA$16:AA55)&gt;0,SUM($AG$16:AG55)&lt;$O$62,$W56&gt;=$O$65),$O$64,0)</f>
        <v/>
      </c>
      <c r="AH56" s="353">
        <f>IF(SUM($AA$17:$AA55)&gt;0,($O$62-SUM($AG$17:$AG55))*$E$65,0)</f>
        <v/>
      </c>
      <c r="AI56" s="346">
        <f>SUM(AD56:AF56)</f>
        <v/>
      </c>
      <c r="AJ56" s="351">
        <f>AC56-AI56</f>
        <v/>
      </c>
      <c r="AK56" s="338">
        <f>(SUM($P$31,$P$51)-SUM($AU$17:AU55))*$O$109</f>
        <v/>
      </c>
      <c r="AL56" s="348" t="n"/>
      <c r="AM56" s="352">
        <f>AJ56*$BF56</f>
        <v/>
      </c>
      <c r="AN56" s="349" t="n"/>
      <c r="AO56" s="350">
        <f>IF($W56=$F$16,$P$61,0)</f>
        <v/>
      </c>
      <c r="AP56" s="351">
        <f>IF($W56=$F$16,$P$63,0)</f>
        <v/>
      </c>
      <c r="AQ56" s="351">
        <f>IF($W56=$F$16,$P$62,0)</f>
        <v/>
      </c>
      <c r="AR56" s="345">
        <f>IF($W56&lt;$O$16,IF(W56=$F$16,$U$92,$U$93),0)</f>
        <v/>
      </c>
      <c r="AS56" s="346">
        <f>SUM(AO56:AP56,AR56)</f>
        <v/>
      </c>
      <c r="AT56" s="345">
        <f>IF(W56=$F$16,$P$30,0)</f>
        <v/>
      </c>
      <c r="AU56" s="345">
        <f>IFERROR(-PPMT($P$36,W56-$F$16,$F$17,SUM(P$31,P$51)),0)</f>
        <v/>
      </c>
      <c r="AV56" s="345">
        <f>IFERROR(-IPMT($P$36,W56-$F$16,$F$17,SUM($P$31,$P$51)),0)</f>
        <v/>
      </c>
      <c r="AW56" s="345">
        <f>IF(AND(W56&gt;$F$16,W56&lt;=SUM($F$16:$F$17)),$P$43,0)</f>
        <v/>
      </c>
      <c r="AX56" s="345">
        <f>IF($W56=1,$F$44,0)+IF(AND($W56&gt;0,$W56&lt;=$O$16),$F$45,0)</f>
        <v/>
      </c>
      <c r="AY56" s="345">
        <f>IF(AND(W56&gt;$F$16,W56&lt;=SUM($F$16:$F$17)),$P$54,0)</f>
        <v/>
      </c>
      <c r="AZ56" s="345">
        <f>IF(AND(SUM($AQ$16:AQ55)&gt;0,SUM($AZ$16:AZ55)&lt;$P$62,$W56&gt;=$P$65),$P$64,0)</f>
        <v/>
      </c>
      <c r="BA56" s="345">
        <f>IF(SUM($AQ$17:$AQ55)&gt;0,($P$62-SUM($AZ$17:$AZ55))*$F$65,0)</f>
        <v/>
      </c>
      <c r="BB56" s="346">
        <f>SUM(AT56:AY56)</f>
        <v/>
      </c>
      <c r="BC56" s="351">
        <f>AS56-BB56</f>
        <v/>
      </c>
      <c r="BD56" s="352">
        <f>BC56*$BF56</f>
        <v/>
      </c>
      <c r="BE56" s="393" t="n"/>
      <c r="BF56" s="47">
        <f>BF55/(1+$O$22)</f>
        <v/>
      </c>
      <c r="BH56" s="350">
        <f>AT56</f>
        <v/>
      </c>
      <c r="BI56" s="350">
        <f>AU56</f>
        <v/>
      </c>
      <c r="BJ56" s="351">
        <f>AV56</f>
        <v/>
      </c>
      <c r="BK56" s="351">
        <f>AW56</f>
        <v/>
      </c>
      <c r="BL56" s="351">
        <f>AY56</f>
        <v/>
      </c>
      <c r="BM56" s="345">
        <f>IF($W56&gt;$F$16,$F$56,0)</f>
        <v/>
      </c>
      <c r="BN56" s="346">
        <f>SUM(BH56:BM56)</f>
        <v/>
      </c>
      <c r="BO56" s="351">
        <f>IF($W56=$F$16,$P$32,0)</f>
        <v/>
      </c>
      <c r="BP56" s="351">
        <f>IF(AND(W56&gt;$F$16,W56&lt;=SUM($F$16:$F$17)),$P$41,0)</f>
        <v/>
      </c>
      <c r="BQ56" s="351">
        <f>IFERROR(-IPMT($P$67,W56-$F$16,$F$17,SUM(P$31,P$51)),0)</f>
        <v/>
      </c>
      <c r="BR56" s="351">
        <f>IF($W56&lt;=$O$16,$F$105,0)</f>
        <v/>
      </c>
      <c r="BS56" s="353">
        <f>IF($W56=1,SUM($O$103,$O$105),0)</f>
        <v/>
      </c>
      <c r="BT56" s="351">
        <f>IF($W56&lt;$O$16,IF(W56=$F$16,$P$93,$P$94),0)</f>
        <v/>
      </c>
      <c r="BU56" s="346">
        <f>SUM(BO56:BP56,BR56:BT56)</f>
        <v/>
      </c>
      <c r="BV56" s="346">
        <f>BN56-BU56</f>
        <v/>
      </c>
      <c r="BW56" s="342" t="n"/>
      <c r="BX56" s="338">
        <f>IFERROR(-PPMT($P$67,$W56-$F$16,$F$17,SUM(P$31,P$51)),0)</f>
        <v/>
      </c>
      <c r="BY56" s="356">
        <f>IF(BV56-BX56&gt;=0,0,1)</f>
        <v/>
      </c>
    </row>
    <row r="57" ht="15.75" customHeight="1" s="302" thickBot="1">
      <c r="Y57" s="374" t="n"/>
      <c r="Z57" s="374" t="n"/>
      <c r="AA57" s="342" t="n"/>
      <c r="AB57" s="342" t="n"/>
      <c r="AC57" s="342" t="n"/>
      <c r="AD57" s="342" t="n"/>
      <c r="AE57" s="342" t="n"/>
      <c r="AF57" s="342" t="n"/>
      <c r="AG57" s="345" t="n"/>
      <c r="AH57" s="351" t="n"/>
      <c r="AI57" s="342" t="n"/>
      <c r="AJ57" s="342" t="n"/>
      <c r="AK57" s="337" t="n"/>
      <c r="AL57" s="337" t="n"/>
      <c r="AM57" s="337" t="n"/>
      <c r="AN57" s="337" t="n"/>
      <c r="AO57" s="337" t="n"/>
      <c r="AP57" s="342" t="n"/>
      <c r="AQ57" s="342" t="n"/>
      <c r="AR57" s="342" t="n"/>
      <c r="AS57" s="342" t="n"/>
      <c r="AT57" s="342" t="n"/>
      <c r="AU57" s="342" t="n"/>
      <c r="AV57" s="342" t="n"/>
      <c r="AW57" s="342" t="n"/>
      <c r="AX57" s="342" t="n"/>
      <c r="AY57" s="342" t="n"/>
      <c r="AZ57" s="342" t="n"/>
      <c r="BA57" s="342" t="n"/>
      <c r="BB57" s="342" t="n"/>
      <c r="BC57" s="342" t="n"/>
      <c r="BD57" s="342" t="n"/>
      <c r="BH57" s="342" t="n"/>
      <c r="BI57" s="342" t="n"/>
      <c r="BJ57" s="342" t="n"/>
      <c r="BK57" s="342" t="n"/>
      <c r="BL57" s="342" t="n"/>
      <c r="BM57" s="342" t="n"/>
      <c r="BN57" s="342" t="n"/>
      <c r="BO57" s="342" t="n"/>
      <c r="BP57" s="342" t="n"/>
      <c r="BQ57" s="342" t="n"/>
      <c r="BR57" s="342" t="n"/>
      <c r="BS57" s="342" t="n"/>
      <c r="BT57" s="342" t="n"/>
      <c r="BU57" s="342" t="n"/>
      <c r="BV57" s="342" t="n"/>
      <c r="BW57" s="342" t="n"/>
      <c r="BX57" s="342" t="n"/>
    </row>
    <row r="58" ht="15.75" customHeight="1" s="302" thickTop="1">
      <c r="A58" s="4" t="inlineStr">
        <is>
          <t>４．事業にかかる資金調達</t>
        </is>
      </c>
      <c r="E58" s="0" t="inlineStr">
        <is>
          <t>PSC</t>
        </is>
      </c>
      <c r="F58" s="0" t="inlineStr">
        <is>
          <t>PFI-LCC</t>
        </is>
      </c>
      <c r="J58" s="4" t="inlineStr">
        <is>
          <t>４．事業にかかる資金調達</t>
        </is>
      </c>
      <c r="X58" s="145" t="inlineStr">
        <is>
          <t>合計</t>
        </is>
      </c>
      <c r="Y58" s="375">
        <f>SUM(Y16:Y56)</f>
        <v/>
      </c>
      <c r="Z58" s="375">
        <f>SUM(Z16:Z56)</f>
        <v/>
      </c>
      <c r="AA58" s="375">
        <f>SUM(AA16:AA56)</f>
        <v/>
      </c>
      <c r="AB58" s="375">
        <f>SUM(AB16:AB56)</f>
        <v/>
      </c>
      <c r="AC58" s="375">
        <f>SUM(AC16:AC56)</f>
        <v/>
      </c>
      <c r="AD58" s="375">
        <f>SUM(AD16:AD56)</f>
        <v/>
      </c>
      <c r="AE58" s="375">
        <f>SUM(AE16:AE56)</f>
        <v/>
      </c>
      <c r="AF58" s="375">
        <f>SUM(AF16:AF56)</f>
        <v/>
      </c>
      <c r="AG58" s="375">
        <f>SUM(AG16:AG56)</f>
        <v/>
      </c>
      <c r="AH58" s="375">
        <f>SUM(AH16:AH56)</f>
        <v/>
      </c>
      <c r="AI58" s="375">
        <f>SUM(AI16:AI56)</f>
        <v/>
      </c>
      <c r="AJ58" s="376">
        <f>SUM(AJ16:AJ56)</f>
        <v/>
      </c>
      <c r="AK58" s="376">
        <f>SUM(AK16:AK56)</f>
        <v/>
      </c>
      <c r="AL58" s="375">
        <f>SUM(AJ58,AL16)</f>
        <v/>
      </c>
      <c r="AM58" s="376">
        <f>SUM(AM16:AM56)</f>
        <v/>
      </c>
      <c r="AN58" s="337" t="n"/>
      <c r="AO58" s="375">
        <f>SUM(AO16:AO56)</f>
        <v/>
      </c>
      <c r="AP58" s="375">
        <f>SUM(AP16:AP56)</f>
        <v/>
      </c>
      <c r="AQ58" s="375">
        <f>SUM(AQ16:AQ56)</f>
        <v/>
      </c>
      <c r="AR58" s="375">
        <f>SUM(AR16:AR56)</f>
        <v/>
      </c>
      <c r="AS58" s="375">
        <f>SUM(AS16:AS56)</f>
        <v/>
      </c>
      <c r="AT58" s="375">
        <f>SUM(AT16:AT56)</f>
        <v/>
      </c>
      <c r="AU58" s="375">
        <f>SUM(AU16:AU56)</f>
        <v/>
      </c>
      <c r="AV58" s="375">
        <f>SUM(AV16:AV56)</f>
        <v/>
      </c>
      <c r="AW58" s="375">
        <f>SUM(AW16:AW56)</f>
        <v/>
      </c>
      <c r="AX58" s="375">
        <f>SUM(AX16:AX56)</f>
        <v/>
      </c>
      <c r="AY58" s="375">
        <f>SUM(AY16:AY56)</f>
        <v/>
      </c>
      <c r="AZ58" s="375">
        <f>SUM(AZ16:AZ56)</f>
        <v/>
      </c>
      <c r="BA58" s="375">
        <f>SUM(BA16:BA56)</f>
        <v/>
      </c>
      <c r="BB58" s="375">
        <f>SUM(BB16:BB56)</f>
        <v/>
      </c>
      <c r="BC58" s="376">
        <f>SUM(BC16:BC56)</f>
        <v/>
      </c>
      <c r="BD58" s="376">
        <f>SUM(BD16:BD56)</f>
        <v/>
      </c>
      <c r="BH58" s="375">
        <f>SUM(BH16:BH56)</f>
        <v/>
      </c>
      <c r="BI58" s="375">
        <f>SUM(BI16:BI56)</f>
        <v/>
      </c>
      <c r="BJ58" s="375">
        <f>SUM(BJ16:BJ56)</f>
        <v/>
      </c>
      <c r="BK58" s="375">
        <f>SUM(BK16:BK56)</f>
        <v/>
      </c>
      <c r="BL58" s="375">
        <f>SUM(BL16:BL56)</f>
        <v/>
      </c>
      <c r="BM58" s="375">
        <f>SUM(BM16:BM56)</f>
        <v/>
      </c>
      <c r="BN58" s="375">
        <f>SUM(BN16:BN56)</f>
        <v/>
      </c>
      <c r="BO58" s="375">
        <f>SUM(BO16:BO56)</f>
        <v/>
      </c>
      <c r="BP58" s="375">
        <f>SUM(BP16:BP56)</f>
        <v/>
      </c>
      <c r="BQ58" s="375">
        <f>SUM(BQ16:BQ56)</f>
        <v/>
      </c>
      <c r="BR58" s="375">
        <f>SUM(BR16:BR56)</f>
        <v/>
      </c>
      <c r="BS58" s="375">
        <f>SUM(BS16:BS56)</f>
        <v/>
      </c>
      <c r="BT58" s="375">
        <f>SUM(BT16:BT56)</f>
        <v/>
      </c>
      <c r="BU58" s="375">
        <f>SUM(BU16:BU56)</f>
        <v/>
      </c>
      <c r="BV58" s="375">
        <f>SUM(BV16:BV56)</f>
        <v/>
      </c>
      <c r="BW58" s="337" t="n"/>
      <c r="BX58" s="377">
        <f>SUM(BX16:BX56)</f>
        <v/>
      </c>
    </row>
    <row r="59" ht="15.75" customHeight="1" s="302">
      <c r="B59" s="0" t="inlineStr">
        <is>
          <t>4.1公共側</t>
        </is>
      </c>
      <c r="C59" s="0" t="inlineStr">
        <is>
          <t>調達必要額</t>
        </is>
      </c>
      <c r="D59" s="0" t="inlineStr">
        <is>
          <t>百万円</t>
        </is>
      </c>
      <c r="E59" s="364">
        <f>O62</f>
        <v/>
      </c>
      <c r="F59" s="364">
        <f>P62</f>
        <v/>
      </c>
      <c r="J59" s="4" t="inlineStr">
        <is>
          <t>4.1公共側</t>
        </is>
      </c>
      <c r="O59" s="0" t="inlineStr">
        <is>
          <t>PSC</t>
        </is>
      </c>
      <c r="P59" s="0" t="inlineStr">
        <is>
          <t>PFI-LCC</t>
        </is>
      </c>
      <c r="AA59" s="0" t="n"/>
      <c r="AB59" s="0" t="n"/>
      <c r="AC59" s="0" t="n"/>
      <c r="AD59" s="0" t="n"/>
      <c r="AE59" s="0" t="n"/>
      <c r="AF59" s="0" t="n"/>
      <c r="AG59" s="0" t="n"/>
      <c r="AH59" s="0" t="n"/>
      <c r="AI59" s="0" t="n"/>
      <c r="AJ59" s="0" t="n"/>
      <c r="AK59" s="0" t="n"/>
      <c r="AL59" s="312" t="inlineStr">
        <is>
          <t>収支合計</t>
        </is>
      </c>
      <c r="AM59" s="0" t="n"/>
      <c r="AN59" s="0" t="n"/>
      <c r="AO59" s="0" t="n"/>
      <c r="AP59" s="0" t="n"/>
      <c r="AQ59" s="0" t="n"/>
      <c r="AR59" s="0" t="n"/>
      <c r="AS59" s="0" t="n"/>
      <c r="AT59" s="0" t="n"/>
      <c r="AU59" s="0" t="n"/>
      <c r="AV59" s="0" t="n"/>
      <c r="AW59" s="0" t="n"/>
      <c r="AX59" s="0" t="n"/>
      <c r="AY59" s="0" t="n"/>
      <c r="AZ59" s="0" t="n"/>
      <c r="BA59" s="0" t="n"/>
      <c r="BB59" s="0" t="n"/>
      <c r="BC59" s="0" t="n"/>
      <c r="BD59" s="0" t="n"/>
      <c r="BE59" s="0" t="n"/>
      <c r="BF59" s="0" t="n"/>
      <c r="BG59" s="0" t="n"/>
      <c r="BH59" s="0" t="n"/>
      <c r="BI59" s="0" t="n"/>
      <c r="BJ59" s="0" t="n"/>
      <c r="BK59" s="0" t="n"/>
      <c r="BL59" s="0" t="n"/>
      <c r="BM59" s="0" t="n"/>
      <c r="BN59" s="0" t="n"/>
      <c r="BO59" s="0" t="n"/>
      <c r="BP59" s="0" t="n"/>
      <c r="BQ59" s="0" t="n"/>
      <c r="BR59" s="0" t="n"/>
      <c r="BS59" s="0" t="n"/>
      <c r="BT59" s="0" t="n"/>
      <c r="BU59" s="0" t="n"/>
      <c r="BV59" s="0" t="n"/>
      <c r="BW59" s="0" t="n"/>
      <c r="BX59" s="0" t="n"/>
      <c r="BY59" s="0" t="n"/>
    </row>
    <row r="60" ht="15.75" customHeight="1" s="302">
      <c r="C60" s="0" t="inlineStr">
        <is>
          <t>補助金収入（％）</t>
        </is>
      </c>
      <c r="D60" s="0" t="inlineStr">
        <is>
          <t>％</t>
        </is>
      </c>
      <c r="E60" s="141" t="n">
        <v>0.4</v>
      </c>
      <c r="F60" s="141" t="n">
        <v>0.4</v>
      </c>
      <c r="K60" s="0" t="inlineStr">
        <is>
          <t>施設整備費用(インフレ考慮後）</t>
        </is>
      </c>
      <c r="N60" s="19" t="inlineStr">
        <is>
          <t>百万円</t>
        </is>
      </c>
      <c r="O60" s="358">
        <f>O29</f>
        <v/>
      </c>
      <c r="P60" s="358">
        <f>P29</f>
        <v/>
      </c>
      <c r="AK60" s="312" t="n"/>
      <c r="AL60" s="312" t="inlineStr">
        <is>
          <t>（リスク調整加算後）</t>
        </is>
      </c>
      <c r="AM60" s="312" t="n"/>
      <c r="AN60" s="312" t="n"/>
      <c r="AO60" s="312" t="n"/>
      <c r="BF60" s="312" t="n"/>
      <c r="BY60" s="0" t="n"/>
    </row>
    <row r="61" ht="10.5" customHeight="1" s="302">
      <c r="C61" s="0" t="inlineStr">
        <is>
          <t>起債への交付金（率）（％）</t>
        </is>
      </c>
      <c r="D61" s="0" t="inlineStr">
        <is>
          <t>％</t>
        </is>
      </c>
      <c r="E61" s="3" t="n">
        <v>0.3</v>
      </c>
      <c r="F61" s="3" t="n">
        <v>0.3</v>
      </c>
      <c r="K61" s="0" t="inlineStr">
        <is>
          <t>補助金</t>
        </is>
      </c>
      <c r="N61" s="19" t="inlineStr">
        <is>
          <t>百万円</t>
        </is>
      </c>
      <c r="O61" s="358">
        <f>O60*$F$60</f>
        <v/>
      </c>
      <c r="P61" s="358">
        <f>P60*$F$60</f>
        <v/>
      </c>
      <c r="V61" s="19" t="n"/>
      <c r="AK61" s="312" t="n"/>
      <c r="AL61" s="312" t="n"/>
      <c r="AM61" s="312" t="n"/>
      <c r="AN61" s="312" t="n"/>
      <c r="AO61" s="312" t="n"/>
      <c r="BF61" s="312" t="n"/>
    </row>
    <row r="62" ht="15.75" customHeight="1" s="302">
      <c r="C62" s="275" t="inlineStr">
        <is>
          <t>起債充当率（％）</t>
        </is>
      </c>
      <c r="D62" s="0" t="inlineStr">
        <is>
          <t>％</t>
        </is>
      </c>
      <c r="E62" s="3" t="n">
        <v>0.75</v>
      </c>
      <c r="F62" s="3" t="n">
        <v>0.75</v>
      </c>
      <c r="J62" s="4" t="n"/>
      <c r="K62" s="0" t="inlineStr">
        <is>
          <t>起債発行額（額）</t>
        </is>
      </c>
      <c r="N62" s="19" t="inlineStr">
        <is>
          <t>百万円</t>
        </is>
      </c>
      <c r="O62" s="358">
        <f>(O60-O61)*$F$62</f>
        <v/>
      </c>
      <c r="P62" s="358">
        <f>(P30-P61)*$F$62</f>
        <v/>
      </c>
      <c r="V62" s="19" t="n"/>
    </row>
    <row r="63" ht="15.75" customHeight="1" s="302">
      <c r="C63" s="0" t="inlineStr">
        <is>
          <t>据置期間</t>
        </is>
      </c>
      <c r="D63" s="0" t="inlineStr">
        <is>
          <t>年</t>
        </is>
      </c>
      <c r="E63" s="333" t="n">
        <v>3</v>
      </c>
      <c r="F63" s="333" t="n">
        <v>3</v>
      </c>
      <c r="K63" s="0" t="inlineStr">
        <is>
          <t>起債への交付金（額）</t>
        </is>
      </c>
      <c r="N63" s="19" t="inlineStr">
        <is>
          <t>百万円</t>
        </is>
      </c>
      <c r="O63" s="358">
        <f>O62*$F$61</f>
        <v/>
      </c>
      <c r="P63" s="358">
        <f>P62*$F$61</f>
        <v/>
      </c>
      <c r="V63" s="19" t="n"/>
    </row>
    <row r="64" ht="15.75" customHeight="1" s="302">
      <c r="C64" s="56" t="inlineStr">
        <is>
          <t>償還期間（年）</t>
        </is>
      </c>
      <c r="D64" s="0" t="inlineStr">
        <is>
          <t>年</t>
        </is>
      </c>
      <c r="E64" s="333" t="n">
        <v>20</v>
      </c>
      <c r="F64" s="333" t="n">
        <v>20</v>
      </c>
      <c r="K64" s="0" t="inlineStr">
        <is>
          <t>起債償還額（年額）</t>
        </is>
      </c>
      <c r="N64" s="19" t="inlineStr">
        <is>
          <t>百万円</t>
        </is>
      </c>
      <c r="O64" s="358">
        <f>O62/$F$64</f>
        <v/>
      </c>
      <c r="P64" s="358">
        <f>P62/$F$64</f>
        <v/>
      </c>
      <c r="V64" s="19" t="n"/>
    </row>
    <row r="65" ht="15.75" customHeight="1" s="302">
      <c r="C65" s="56" t="inlineStr">
        <is>
          <t>地方債利回り（％）</t>
        </is>
      </c>
      <c r="D65" s="0" t="inlineStr">
        <is>
          <t>％</t>
        </is>
      </c>
      <c r="E65" s="378" t="n">
        <v>0.015</v>
      </c>
      <c r="F65" s="378" t="n">
        <v>0.015</v>
      </c>
      <c r="K65" s="0" t="inlineStr">
        <is>
          <t>償還開始時期（第●期）</t>
        </is>
      </c>
      <c r="N65" s="19" t="inlineStr">
        <is>
          <t>期</t>
        </is>
      </c>
      <c r="O65" s="358">
        <f>$F$16+E63+1</f>
        <v/>
      </c>
      <c r="P65" s="358">
        <f>$F$16+F63+1</f>
        <v/>
      </c>
    </row>
    <row r="66" ht="15.75" customHeight="1" s="302">
      <c r="B66" s="0" t="inlineStr">
        <is>
          <t>4.2民間事業者側</t>
        </is>
      </c>
      <c r="C66" s="19" t="n"/>
      <c r="J66" s="4" t="inlineStr">
        <is>
          <t>4.2民間事業者側</t>
        </is>
      </c>
      <c r="P66" s="0" t="inlineStr">
        <is>
          <t>PFI-LCC</t>
        </is>
      </c>
    </row>
    <row r="67" ht="15.75" customHeight="1" s="302">
      <c r="E67" s="0" t="inlineStr">
        <is>
          <t>PSC</t>
        </is>
      </c>
      <c r="F67" s="0" t="inlineStr">
        <is>
          <t>PFI-LCC</t>
        </is>
      </c>
      <c r="K67" s="0" t="inlineStr">
        <is>
          <t>借入金利</t>
        </is>
      </c>
      <c r="O67" s="19" t="n"/>
      <c r="P67" s="110">
        <f>SUM(F69:F70)</f>
        <v/>
      </c>
    </row>
    <row r="68" ht="15.75" customHeight="1" s="302">
      <c r="C68" s="0" t="inlineStr">
        <is>
          <t>調達必要額</t>
        </is>
      </c>
      <c r="D68" s="0" t="inlineStr">
        <is>
          <t>百万円</t>
        </is>
      </c>
      <c r="F68" s="364">
        <f>P31</f>
        <v/>
      </c>
    </row>
    <row r="69" ht="15.75" customHeight="1" s="302">
      <c r="C69" s="0" t="inlineStr">
        <is>
          <t>基準金利</t>
        </is>
      </c>
      <c r="D69" s="0" t="inlineStr">
        <is>
          <t>％</t>
        </is>
      </c>
      <c r="F69" s="17" t="n"/>
      <c r="H69" s="72" t="inlineStr">
        <is>
          <t>民間調達なし</t>
        </is>
      </c>
    </row>
    <row r="70" ht="15.75" customHeight="1" s="302">
      <c r="C70" s="0" t="inlineStr">
        <is>
          <t>スプレッド</t>
        </is>
      </c>
      <c r="D70" s="0" t="inlineStr">
        <is>
          <t>％</t>
        </is>
      </c>
      <c r="F70" s="379" t="n"/>
      <c r="H70" s="150" t="inlineStr">
        <is>
          <t>民間調達なし</t>
        </is>
      </c>
    </row>
    <row r="71" ht="15.75" customHeight="1" s="302">
      <c r="C71" s="56" t="inlineStr">
        <is>
          <t>借入金利（％）</t>
        </is>
      </c>
      <c r="D71" s="0" t="inlineStr">
        <is>
          <t>％</t>
        </is>
      </c>
    </row>
    <row r="72" ht="15.75" customHeight="1" s="302">
      <c r="A72" s="4" t="inlineStr">
        <is>
          <t>５．事業に係る税金</t>
        </is>
      </c>
      <c r="J72" s="4" t="inlineStr">
        <is>
          <t>５．事業に係る税金</t>
        </is>
      </c>
      <c r="O72" s="19" t="n"/>
      <c r="P72" s="19" t="n"/>
      <c r="R72" s="4" t="inlineStr">
        <is>
          <t>うち、発注者に納付される税金</t>
        </is>
      </c>
      <c r="S72" s="4" t="n"/>
      <c r="T72" s="4" t="n"/>
    </row>
    <row r="73" ht="15.75" customHeight="1" s="302">
      <c r="C73" s="0" t="inlineStr">
        <is>
          <t>法人税</t>
        </is>
      </c>
      <c r="O73" s="19" t="n"/>
      <c r="P73" s="5" t="inlineStr">
        <is>
          <t>法人税</t>
        </is>
      </c>
      <c r="U73" s="4" t="inlineStr">
        <is>
          <t>（都道府県）事業税</t>
        </is>
      </c>
    </row>
    <row r="74" ht="15.75" customHeight="1" s="302">
      <c r="C74" s="2" t="inlineStr">
        <is>
          <t>法人税課税標準（SPC税引前利敵）</t>
        </is>
      </c>
      <c r="D74" s="0" t="inlineStr">
        <is>
          <t>百万円</t>
        </is>
      </c>
      <c r="F74" s="333" t="n">
        <v>0</v>
      </c>
      <c r="H74" s="72" t="inlineStr">
        <is>
          <t>SPC設立なし</t>
        </is>
      </c>
      <c r="N74" s="0" t="inlineStr">
        <is>
          <t>SPC税引前利益</t>
        </is>
      </c>
      <c r="O74" s="2" t="n"/>
      <c r="P74" s="334">
        <f>F74</f>
        <v/>
      </c>
      <c r="S74" s="0" t="inlineStr">
        <is>
          <t>課税標準</t>
        </is>
      </c>
      <c r="T74" s="19" t="inlineStr">
        <is>
          <t>百万円</t>
        </is>
      </c>
      <c r="U74" s="334">
        <f>F90</f>
        <v/>
      </c>
    </row>
    <row r="75" ht="15.75" customHeight="1" s="302">
      <c r="C75" s="2" t="inlineStr">
        <is>
          <t>法人税率</t>
        </is>
      </c>
      <c r="D75" s="0" t="inlineStr">
        <is>
          <t>％</t>
        </is>
      </c>
      <c r="F75" s="381" t="n"/>
      <c r="H75" s="0" t="inlineStr">
        <is>
          <t>実効税率</t>
        </is>
      </c>
      <c r="N75" s="0" t="inlineStr">
        <is>
          <t>税率</t>
        </is>
      </c>
      <c r="O75" s="2" t="n"/>
      <c r="P75" s="115">
        <f>F75</f>
        <v/>
      </c>
      <c r="S75" s="0" t="inlineStr">
        <is>
          <t>税率</t>
        </is>
      </c>
      <c r="T75" s="0" t="inlineStr">
        <is>
          <t>％</t>
        </is>
      </c>
      <c r="U75" s="115">
        <f>F91</f>
        <v/>
      </c>
    </row>
    <row r="76" ht="15.75" customHeight="1" s="302">
      <c r="C76" s="0" t="inlineStr">
        <is>
          <t>法人住民税均等割</t>
        </is>
      </c>
      <c r="N76" s="0" t="inlineStr">
        <is>
          <t>税額</t>
        </is>
      </c>
      <c r="O76" s="2" t="inlineStr">
        <is>
          <t>百万円</t>
        </is>
      </c>
      <c r="P76" s="116">
        <f>P74*P75</f>
        <v/>
      </c>
      <c r="S76" s="0" t="inlineStr">
        <is>
          <t>税額</t>
        </is>
      </c>
      <c r="T76" s="19" t="inlineStr">
        <is>
          <t>百万円</t>
        </is>
      </c>
      <c r="U76" s="116">
        <f>U74*U75</f>
        <v/>
      </c>
      <c r="W76" s="113" t="n"/>
    </row>
    <row r="77" ht="15.75" customHeight="1" s="302">
      <c r="C77" s="2" t="inlineStr">
        <is>
          <t>税額</t>
        </is>
      </c>
      <c r="D77" s="0" t="inlineStr">
        <is>
          <t>百万円</t>
        </is>
      </c>
      <c r="F77" s="381" t="n"/>
      <c r="H77" s="0" t="inlineStr">
        <is>
          <t>資本金1億円以下、従業員50万人以下</t>
        </is>
      </c>
      <c r="N77" s="0" t="n"/>
      <c r="O77" s="2" t="n"/>
      <c r="P77" s="104" t="inlineStr">
        <is>
          <t>法人住民税均等割</t>
        </is>
      </c>
      <c r="T77" s="19" t="n"/>
      <c r="U77" s="4" t="inlineStr">
        <is>
          <t>（都道府県）法人住民税率</t>
        </is>
      </c>
    </row>
    <row r="78" ht="15.75" customHeight="1" s="302">
      <c r="N78" s="0" t="inlineStr">
        <is>
          <t>税額</t>
        </is>
      </c>
      <c r="O78" s="2" t="inlineStr">
        <is>
          <t>百万円</t>
        </is>
      </c>
      <c r="P78" s="382">
        <f>F77</f>
        <v/>
      </c>
      <c r="S78" s="0" t="inlineStr">
        <is>
          <t>課税標準</t>
        </is>
      </c>
      <c r="T78" s="19" t="inlineStr">
        <is>
          <t>百万円</t>
        </is>
      </c>
      <c r="U78" s="334">
        <f>F93</f>
        <v/>
      </c>
    </row>
    <row r="79" ht="15.75" customHeight="1" s="302">
      <c r="C79" s="0" t="inlineStr">
        <is>
          <t>不動産取得税</t>
        </is>
      </c>
      <c r="O79" s="2" t="n"/>
      <c r="P79" s="104" t="inlineStr">
        <is>
          <t>不動産取得税</t>
        </is>
      </c>
      <c r="S79" s="0" t="inlineStr">
        <is>
          <t>税率</t>
        </is>
      </c>
      <c r="T79" s="0" t="inlineStr">
        <is>
          <t>％</t>
        </is>
      </c>
      <c r="U79" s="115">
        <f>F94</f>
        <v/>
      </c>
    </row>
    <row r="80" ht="15.75" customHeight="1" s="302">
      <c r="C80" s="2" t="inlineStr">
        <is>
          <t>課税標準</t>
        </is>
      </c>
      <c r="D80" s="0" t="inlineStr">
        <is>
          <t>百万円</t>
        </is>
      </c>
      <c r="F80" s="387" t="n">
        <v>0</v>
      </c>
      <c r="H80" s="0" t="inlineStr">
        <is>
          <t>特例等、税制に応じて入力（施設整備額はP26セル）</t>
        </is>
      </c>
      <c r="N80" s="0" t="inlineStr">
        <is>
          <t>施設整備額</t>
        </is>
      </c>
      <c r="O80" s="2" t="n"/>
      <c r="P80" s="334">
        <f>F80</f>
        <v/>
      </c>
      <c r="S80" s="0" t="inlineStr">
        <is>
          <t>税額</t>
        </is>
      </c>
      <c r="T80" s="19" t="inlineStr">
        <is>
          <t>百万円</t>
        </is>
      </c>
      <c r="U80" s="116">
        <f>U78*U79</f>
        <v/>
      </c>
    </row>
    <row r="81" ht="15.75" customHeight="1" s="302">
      <c r="C81" s="2" t="inlineStr">
        <is>
          <t>税率</t>
        </is>
      </c>
      <c r="D81" s="0" t="inlineStr">
        <is>
          <t>％</t>
        </is>
      </c>
      <c r="F81" s="381" t="n"/>
      <c r="H81" s="175" t="inlineStr">
        <is>
          <t>BOT・BOO以外は不要</t>
        </is>
      </c>
      <c r="N81" s="0" t="inlineStr">
        <is>
          <t>税率</t>
        </is>
      </c>
      <c r="O81" s="2" t="n"/>
      <c r="P81" s="115">
        <f>F81</f>
        <v/>
      </c>
      <c r="T81" s="19" t="n"/>
      <c r="U81" s="4" t="inlineStr">
        <is>
          <t>（市町村）法人住民税率</t>
        </is>
      </c>
    </row>
    <row r="82" ht="15.75" customHeight="1" s="302">
      <c r="C82" s="0" t="inlineStr">
        <is>
          <t>固定資産税</t>
        </is>
      </c>
      <c r="N82" s="0" t="inlineStr">
        <is>
          <t>税額</t>
        </is>
      </c>
      <c r="O82" s="2" t="inlineStr">
        <is>
          <t>百万円</t>
        </is>
      </c>
      <c r="P82" s="116">
        <f>P80*P81</f>
        <v/>
      </c>
      <c r="S82" s="0" t="inlineStr">
        <is>
          <t>課税標準</t>
        </is>
      </c>
      <c r="T82" s="19" t="inlineStr">
        <is>
          <t>百万円</t>
        </is>
      </c>
      <c r="U82" s="334">
        <f>F96</f>
        <v/>
      </c>
    </row>
    <row r="83" ht="15.75" customHeight="1" s="302">
      <c r="C83" s="2" t="inlineStr">
        <is>
          <t>課税標準</t>
        </is>
      </c>
      <c r="D83" s="0" t="inlineStr">
        <is>
          <t>百万円</t>
        </is>
      </c>
      <c r="F83" s="387" t="n">
        <v>0</v>
      </c>
      <c r="H83" s="0" t="inlineStr">
        <is>
          <t>特例等、税制に応じて入力（施設整備額はP26セル）</t>
        </is>
      </c>
      <c r="O83" s="2" t="n"/>
      <c r="P83" s="104" t="inlineStr">
        <is>
          <t>登録免許税</t>
        </is>
      </c>
      <c r="S83" s="0" t="inlineStr">
        <is>
          <t>税率</t>
        </is>
      </c>
      <c r="T83" s="0" t="inlineStr">
        <is>
          <t>％</t>
        </is>
      </c>
      <c r="U83" s="115">
        <f>F97</f>
        <v/>
      </c>
    </row>
    <row r="84">
      <c r="C84" s="2" t="inlineStr">
        <is>
          <t>税率</t>
        </is>
      </c>
      <c r="D84" s="0" t="inlineStr">
        <is>
          <t>％</t>
        </is>
      </c>
      <c r="F84" s="381" t="n"/>
      <c r="H84" s="175" t="inlineStr">
        <is>
          <t>BOT・BOO以外は不要</t>
        </is>
      </c>
      <c r="N84" s="0" t="inlineStr">
        <is>
          <t>施設整備額</t>
        </is>
      </c>
      <c r="O84" s="2" t="n"/>
      <c r="P84" s="334">
        <f>F83</f>
        <v/>
      </c>
      <c r="S84" s="0" t="inlineStr">
        <is>
          <t>税額</t>
        </is>
      </c>
      <c r="T84" s="19" t="inlineStr">
        <is>
          <t>百万円</t>
        </is>
      </c>
      <c r="U84" s="116">
        <f>U82*U83</f>
        <v/>
      </c>
    </row>
    <row r="85">
      <c r="C85" s="0" t="inlineStr">
        <is>
          <t>登録免許税</t>
        </is>
      </c>
      <c r="N85" s="0" t="inlineStr">
        <is>
          <t>税率</t>
        </is>
      </c>
      <c r="O85" s="2" t="n"/>
      <c r="P85" s="115">
        <f>F87</f>
        <v/>
      </c>
      <c r="T85" s="19" t="n"/>
    </row>
    <row r="86">
      <c r="C86" s="2" t="inlineStr">
        <is>
          <t>課税標準</t>
        </is>
      </c>
      <c r="D86" s="0" t="inlineStr">
        <is>
          <t>百万円</t>
        </is>
      </c>
      <c r="F86" s="387" t="n">
        <v>0</v>
      </c>
      <c r="H86" s="0" t="inlineStr">
        <is>
          <t>税制に応じて入力（施設整備額はP26セル）</t>
        </is>
      </c>
      <c r="N86" s="0" t="inlineStr">
        <is>
          <t>税額</t>
        </is>
      </c>
      <c r="O86" s="2" t="inlineStr">
        <is>
          <t>百万円</t>
        </is>
      </c>
      <c r="P86" s="116">
        <f>P84*P85</f>
        <v/>
      </c>
      <c r="S86" s="0" t="inlineStr">
        <is>
          <t>（都道府県）不動産取得税　税額</t>
        </is>
      </c>
      <c r="T86" s="19" t="inlineStr">
        <is>
          <t>百万円</t>
        </is>
      </c>
      <c r="U86" s="118">
        <f>IF($F$13="都道府県",P82,0)</f>
        <v/>
      </c>
    </row>
    <row r="87">
      <c r="C87" s="2" t="inlineStr">
        <is>
          <t>税率</t>
        </is>
      </c>
      <c r="D87" s="0" t="inlineStr">
        <is>
          <t>％</t>
        </is>
      </c>
      <c r="F87" s="381" t="n"/>
      <c r="H87" s="175" t="inlineStr">
        <is>
          <t>BOT・BOO以外は不要</t>
        </is>
      </c>
      <c r="N87" s="0" t="n"/>
      <c r="O87" s="2" t="n"/>
      <c r="P87" s="384" t="inlineStr">
        <is>
          <t>固定資産税</t>
        </is>
      </c>
      <c r="S87" s="0" t="inlineStr">
        <is>
          <t>（市町村）固定資産税　税額</t>
        </is>
      </c>
      <c r="T87" s="19" t="inlineStr">
        <is>
          <t>百万円</t>
        </is>
      </c>
      <c r="U87" s="365">
        <f>IF($F$13="市町村",P90,0)</f>
        <v/>
      </c>
    </row>
    <row r="88">
      <c r="C88" s="0" t="inlineStr">
        <is>
          <t>うち、発注者への納付される税金</t>
        </is>
      </c>
      <c r="N88" s="0" t="inlineStr">
        <is>
          <t>施設整備額</t>
        </is>
      </c>
      <c r="O88" s="2" t="n"/>
      <c r="P88" s="334">
        <f>F83</f>
        <v/>
      </c>
    </row>
    <row r="89">
      <c r="C89" s="0" t="inlineStr">
        <is>
          <t>（都道府県）事業税</t>
        </is>
      </c>
      <c r="N89" s="0" t="inlineStr">
        <is>
          <t>税率</t>
        </is>
      </c>
      <c r="O89" s="2" t="n"/>
      <c r="P89" s="115">
        <f>F84</f>
        <v/>
      </c>
    </row>
    <row r="90">
      <c r="C90" s="2" t="inlineStr">
        <is>
          <t>課税標準</t>
        </is>
      </c>
      <c r="D90" s="0" t="inlineStr">
        <is>
          <t>百万円</t>
        </is>
      </c>
      <c r="F90" s="380" t="n">
        <v>0</v>
      </c>
      <c r="H90" s="0" t="inlineStr">
        <is>
          <t>0をデフォルト値とする</t>
        </is>
      </c>
      <c r="N90" s="0" t="inlineStr">
        <is>
          <t>税額</t>
        </is>
      </c>
      <c r="O90" s="2" t="inlineStr">
        <is>
          <t>百万円</t>
        </is>
      </c>
      <c r="P90" s="116">
        <f>P88*P89</f>
        <v/>
      </c>
    </row>
    <row r="91">
      <c r="C91" s="2" t="inlineStr">
        <is>
          <t>税率</t>
        </is>
      </c>
      <c r="D91" s="0" t="inlineStr">
        <is>
          <t>％</t>
        </is>
      </c>
      <c r="F91" s="333" t="n">
        <v>0</v>
      </c>
      <c r="H91" s="0" t="inlineStr">
        <is>
          <t>発注者が都道府県の場合、入力</t>
        </is>
      </c>
      <c r="K91" s="4" t="inlineStr">
        <is>
          <t>法人税等・公租公課</t>
        </is>
      </c>
      <c r="N91" s="0" t="n"/>
      <c r="O91" s="2" t="n"/>
      <c r="R91" s="4" t="inlineStr">
        <is>
          <t>発注者に納付される税金　合計</t>
        </is>
      </c>
      <c r="S91" s="4" t="n"/>
    </row>
    <row r="92">
      <c r="C92" s="0" t="inlineStr">
        <is>
          <t>（都道府県）法人住民税</t>
        </is>
      </c>
      <c r="M92" s="0" t="inlineStr">
        <is>
          <t>整備期間中</t>
        </is>
      </c>
      <c r="N92" s="0" t="inlineStr">
        <is>
          <t>税額</t>
        </is>
      </c>
      <c r="O92" s="2" t="inlineStr">
        <is>
          <t>百万円</t>
        </is>
      </c>
      <c r="P92" s="358">
        <f>P78</f>
        <v/>
      </c>
      <c r="S92" s="0" t="inlineStr">
        <is>
          <t>完工年度のみ</t>
        </is>
      </c>
      <c r="T92" s="19" t="inlineStr">
        <is>
          <t>百万円</t>
        </is>
      </c>
      <c r="U92" s="365">
        <f>SUM(F99,U76,U80,U84,U86:U87)</f>
        <v/>
      </c>
    </row>
    <row r="93">
      <c r="C93" s="2" t="inlineStr">
        <is>
          <t>課税標準</t>
        </is>
      </c>
      <c r="D93" s="0" t="inlineStr">
        <is>
          <t>百万円</t>
        </is>
      </c>
      <c r="F93" s="380" t="n">
        <v>0</v>
      </c>
      <c r="H93" s="0" t="inlineStr">
        <is>
          <t>0をデフォルト値とする</t>
        </is>
      </c>
      <c r="M93" s="0" t="inlineStr">
        <is>
          <t>完工年度のみ</t>
        </is>
      </c>
      <c r="N93" s="0" t="inlineStr">
        <is>
          <t>税額</t>
        </is>
      </c>
      <c r="O93" s="2" t="inlineStr">
        <is>
          <t>百万円</t>
        </is>
      </c>
      <c r="P93" s="385">
        <f>SUM(P76,P78,P82,P86,P90)</f>
        <v/>
      </c>
      <c r="S93" s="0" t="inlineStr">
        <is>
          <t>運営期間中</t>
        </is>
      </c>
      <c r="T93" s="19" t="inlineStr">
        <is>
          <t>百万円</t>
        </is>
      </c>
      <c r="U93" s="365">
        <f>SUM(F100,U76,U80,U84)</f>
        <v/>
      </c>
    </row>
    <row r="94">
      <c r="C94" s="2" t="inlineStr">
        <is>
          <t>税率</t>
        </is>
      </c>
      <c r="D94" s="0" t="inlineStr">
        <is>
          <t>％</t>
        </is>
      </c>
      <c r="F94" s="333" t="n">
        <v>0</v>
      </c>
      <c r="H94" s="0" t="inlineStr">
        <is>
          <t>発注者が都道府県の場合、入力</t>
        </is>
      </c>
      <c r="M94" s="0" t="inlineStr">
        <is>
          <t>運営期間中</t>
        </is>
      </c>
      <c r="N94" s="0" t="inlineStr">
        <is>
          <t>税額</t>
        </is>
      </c>
      <c r="O94" s="2" t="inlineStr">
        <is>
          <t>百万円</t>
        </is>
      </c>
      <c r="P94" s="386">
        <f>SUM(P76,P78,P90)</f>
        <v/>
      </c>
    </row>
    <row r="95">
      <c r="C95" s="56" t="inlineStr">
        <is>
          <t>（市町村）法人住民税</t>
        </is>
      </c>
    </row>
    <row r="96">
      <c r="C96" s="2" t="inlineStr">
        <is>
          <t>課税標準</t>
        </is>
      </c>
      <c r="D96" s="0" t="inlineStr">
        <is>
          <t>百万円</t>
        </is>
      </c>
      <c r="F96" s="380" t="n">
        <v>0</v>
      </c>
      <c r="H96" s="0" t="inlineStr">
        <is>
          <t>0をデフォルト値とする</t>
        </is>
      </c>
    </row>
    <row r="97">
      <c r="C97" s="2" t="inlineStr">
        <is>
          <t>税率</t>
        </is>
      </c>
      <c r="D97" s="0" t="inlineStr">
        <is>
          <t>％</t>
        </is>
      </c>
      <c r="F97" s="333" t="n">
        <v>0</v>
      </c>
      <c r="H97" s="0" t="inlineStr">
        <is>
          <t>発注者が市町村又は東京都の場合、入力</t>
        </is>
      </c>
    </row>
    <row r="99">
      <c r="C99" s="0" t="inlineStr">
        <is>
          <t>任意入力（全額）①　完工年度のみ</t>
        </is>
      </c>
      <c r="D99" s="0" t="inlineStr">
        <is>
          <t>百万円</t>
        </is>
      </c>
      <c r="F99" s="387" t="n"/>
    </row>
    <row r="100">
      <c r="C100" s="0" t="inlineStr">
        <is>
          <t>任意入力（全額）②　運営期間中</t>
        </is>
      </c>
      <c r="D100" s="0" t="inlineStr">
        <is>
          <t>百万円</t>
        </is>
      </c>
      <c r="F100" s="387" t="n"/>
    </row>
    <row r="102">
      <c r="A102" s="4" t="inlineStr">
        <is>
          <t>６．リスク調整</t>
        </is>
      </c>
      <c r="J102" s="4" t="inlineStr">
        <is>
          <t>６.リスク調整額</t>
        </is>
      </c>
      <c r="O102" s="0" t="inlineStr">
        <is>
          <t>PSC</t>
        </is>
      </c>
      <c r="P102" s="0" t="inlineStr">
        <is>
          <t>PFI-LCC</t>
        </is>
      </c>
    </row>
    <row r="103">
      <c r="C103" s="312" t="n"/>
      <c r="D103" s="312" t="n"/>
      <c r="E103" s="312" t="n"/>
      <c r="F103" s="312" t="inlineStr">
        <is>
          <t>リスク調整額</t>
        </is>
      </c>
      <c r="K103" s="0" t="inlineStr">
        <is>
          <t>5.1SPC設立費用</t>
        </is>
      </c>
      <c r="N103" s="19" t="inlineStr">
        <is>
          <t>百万円</t>
        </is>
      </c>
      <c r="O103" s="358">
        <f>F104</f>
        <v/>
      </c>
      <c r="P103" s="362" t="n"/>
    </row>
    <row r="104">
      <c r="C104" s="94" t="inlineStr">
        <is>
          <t>SPC設立費用</t>
        </is>
      </c>
      <c r="D104" s="0" t="inlineStr">
        <is>
          <t>百万円</t>
        </is>
      </c>
      <c r="F104" s="388" t="n"/>
      <c r="H104" s="150" t="inlineStr">
        <is>
          <t>SPC設立なし</t>
        </is>
      </c>
      <c r="K104" s="0" t="inlineStr">
        <is>
          <t>5.2SPC経費</t>
        </is>
      </c>
      <c r="N104" s="19" t="inlineStr">
        <is>
          <t>百万円</t>
        </is>
      </c>
      <c r="O104" s="389">
        <f>F105*O16</f>
        <v/>
      </c>
      <c r="P104" s="362" t="n"/>
    </row>
    <row r="105">
      <c r="C105" s="94" t="inlineStr">
        <is>
          <t>SPC経費（年額）</t>
        </is>
      </c>
      <c r="D105" s="0" t="inlineStr">
        <is>
          <t>百万円</t>
        </is>
      </c>
      <c r="F105" s="388" t="n"/>
      <c r="H105" s="150" t="inlineStr">
        <is>
          <t>SPC設立なし</t>
        </is>
      </c>
      <c r="K105" s="0" t="inlineStr">
        <is>
          <t>5.3SPC予備費</t>
        </is>
      </c>
      <c r="N105" s="19" t="inlineStr">
        <is>
          <t>百万円</t>
        </is>
      </c>
      <c r="O105" s="358">
        <f>F106</f>
        <v/>
      </c>
      <c r="P105" s="362" t="n"/>
    </row>
    <row r="106">
      <c r="C106" s="94" t="inlineStr">
        <is>
          <t>SPC予備費</t>
        </is>
      </c>
      <c r="D106" s="0" t="inlineStr">
        <is>
          <t>百万円</t>
        </is>
      </c>
      <c r="F106" s="388" t="n"/>
      <c r="H106" s="150" t="inlineStr">
        <is>
          <t>SPC設立なし</t>
        </is>
      </c>
      <c r="K106" s="0" t="inlineStr">
        <is>
          <t>5.4官民での利払い費用の差</t>
        </is>
      </c>
    </row>
    <row r="107">
      <c r="C107" s="94" t="n"/>
      <c r="M107" s="0" t="inlineStr">
        <is>
          <t>公共の調達金利（地方債）</t>
        </is>
      </c>
      <c r="N107" s="19" t="inlineStr">
        <is>
          <t>％</t>
        </is>
      </c>
      <c r="O107" s="390">
        <f>F65</f>
        <v/>
      </c>
      <c r="P107" s="362" t="n"/>
    </row>
    <row r="108">
      <c r="C108" s="94" t="n"/>
      <c r="M108" s="0" t="inlineStr">
        <is>
          <t>民間の借入金利</t>
        </is>
      </c>
      <c r="N108" s="19" t="inlineStr">
        <is>
          <t>％</t>
        </is>
      </c>
      <c r="O108" s="391">
        <f>P67</f>
        <v/>
      </c>
      <c r="P108" s="362" t="n"/>
    </row>
    <row r="109">
      <c r="C109" s="94" t="n"/>
      <c r="M109" s="0" t="inlineStr">
        <is>
          <t>官民での利払い差（レート）</t>
        </is>
      </c>
      <c r="N109" s="19" t="inlineStr">
        <is>
          <t>％</t>
        </is>
      </c>
      <c r="O109" s="390">
        <f>O108-O107</f>
        <v/>
      </c>
      <c r="P109" s="362" t="n"/>
    </row>
    <row r="110">
      <c r="M110" s="392" t="inlineStr">
        <is>
          <t>官民利払い費の差</t>
        </is>
      </c>
      <c r="N110" s="0" t="inlineStr">
        <is>
          <t>百万円</t>
        </is>
      </c>
      <c r="O110" s="389">
        <f>SUM(AK17:AK46)</f>
        <v/>
      </c>
      <c r="P110" s="362" t="n"/>
    </row>
    <row r="112" ht="15" customFormat="1" customHeight="1" s="264" thickBot="1">
      <c r="B112" s="264" t="inlineStr">
        <is>
          <t>END OF WORKSHEET</t>
        </is>
      </c>
      <c r="I112" s="265" t="n"/>
    </row>
    <row r="113" hidden="1" ht="19" customHeight="1" s="302" thickTop="1"/>
  </sheetData>
  <dataValidations count="2">
    <dataValidation sqref="F13" showDropDown="0" showInputMessage="1" showErrorMessage="1" allowBlank="0" type="list">
      <formula1>$O$13:$Q$13</formula1>
    </dataValidation>
    <dataValidation sqref="F47" showDropDown="0" showInputMessage="1" showErrorMessage="1" allowBlank="0" type="list">
      <formula1>$G$47:$G$48</formula1>
    </dataValidation>
  </dataValidations>
  <pageMargins left="0.2362204724409449" right="0.2362204724409449" top="0.7480314960629921" bottom="0.7480314960629921" header="0.3149606299212598" footer="0.3149606299212598"/>
  <pageSetup orientation="landscape" paperSize="8" scale="41" fitToWidth="0"/>
  <colBreaks count="2" manualBreakCount="2">
    <brk id="21" min="0" max="1048575" man="1"/>
    <brk id="59" min="0" max="1048575" man="1"/>
  </colBreaks>
</worksheet>
</file>

<file path=xl/worksheets/sheet6.xml><?xml version="1.0" encoding="utf-8"?>
<worksheet xmlns="http://schemas.openxmlformats.org/spreadsheetml/2006/main">
  <sheetPr>
    <tabColor rgb="FFFFC000"/>
    <outlinePr summaryBelow="1" summaryRight="1"/>
    <pageSetUpPr fitToPage="1"/>
  </sheetPr>
  <dimension ref="A2:CA112"/>
  <sheetViews>
    <sheetView showGridLines="0" tabSelected="1" view="pageBreakPreview" topLeftCell="AR10" zoomScale="85" zoomScaleNormal="40" zoomScaleSheetLayoutView="85" workbookViewId="0">
      <selection activeCell="AC19" sqref="AC19"/>
    </sheetView>
  </sheetViews>
  <sheetFormatPr baseColWidth="10" defaultColWidth="0" defaultRowHeight="18" zeroHeight="1" outlineLevelCol="1"/>
  <cols>
    <col width="4.83203125" customWidth="1" style="302" min="1" max="1"/>
    <col width="40.6640625" customWidth="1" style="302" min="2" max="2"/>
    <col width="40.1640625" bestFit="1" customWidth="1" style="302" min="3" max="3"/>
    <col width="7.33203125" customWidth="1" style="302" min="4" max="4"/>
    <col width="8.5" bestFit="1" customWidth="1" style="302" min="5" max="5"/>
    <col width="11.5" customWidth="1" style="302" min="6" max="6"/>
    <col width="2.5" customWidth="1" style="302" min="7" max="7"/>
    <col width="43.6640625" customWidth="1" style="302" min="8" max="8"/>
    <col width="1.6640625" customWidth="1" style="302" min="9" max="9"/>
    <col outlineLevel="1" width="12.5" customWidth="1" style="302" min="10" max="11"/>
    <col outlineLevel="1" width="1.83203125" customWidth="1" style="302" min="12" max="12"/>
    <col outlineLevel="1" width="42.1640625" customWidth="1" style="302" min="13" max="13"/>
    <col outlineLevel="1" width="11.1640625" customWidth="1" style="19" min="14" max="14"/>
    <col outlineLevel="1" width="24.5" customWidth="1" style="302" min="15" max="16"/>
    <col outlineLevel="1" width="4.6640625" customWidth="1" style="302" min="17" max="17"/>
    <col outlineLevel="1" width="10" customWidth="1" style="302" min="18" max="18"/>
    <col outlineLevel="1" width="19.1640625" customWidth="1" style="302" min="19" max="19"/>
    <col outlineLevel="1" width="7.5" customWidth="1" style="302" min="20" max="20"/>
    <col outlineLevel="1" width="24.5" customWidth="1" style="302" min="21" max="21"/>
    <col width="12" customWidth="1" style="302" min="22" max="22"/>
    <col width="9.6640625" customWidth="1" style="302" min="23" max="23"/>
    <col width="21.5" customWidth="1" style="302" min="24" max="24"/>
    <col width="10.83203125" customWidth="1" style="242" min="25" max="26"/>
    <col width="10.83203125" customWidth="1" style="33" min="27" max="36"/>
    <col width="10.83203125" customWidth="1" style="313" min="37" max="38"/>
    <col width="12" customWidth="1" style="313" min="39" max="39"/>
    <col width="1.6640625" customWidth="1" style="312" min="40" max="40"/>
    <col width="10.33203125" customWidth="1" style="313" min="41" max="41"/>
    <col width="10.33203125" customWidth="1" style="33" min="42" max="45"/>
    <col width="16" customWidth="1" style="33" min="46" max="49"/>
    <col width="10.6640625" customWidth="1" style="33" min="50" max="54"/>
    <col width="12" customWidth="1" style="33" min="55" max="56"/>
    <col width="1.6640625" customWidth="1" style="19" min="57" max="57"/>
    <col width="12" customWidth="1" style="312" min="58" max="58"/>
    <col width="1.5" customWidth="1" style="19" min="59" max="59"/>
    <col width="16" customWidth="1" style="33" min="60" max="63"/>
    <col width="12" customWidth="1" style="33" min="64" max="70"/>
    <col width="16.83203125" customWidth="1" style="33" min="71" max="71"/>
    <col width="12" customWidth="1" style="33" min="72" max="74"/>
    <col width="2.1640625" customWidth="1" style="19" min="75" max="75"/>
    <col width="12" customWidth="1" style="19" min="76" max="76"/>
    <col width="21" bestFit="1" customWidth="1" style="19" min="77" max="77"/>
    <col hidden="1" width="3.33203125" customWidth="1" style="19" min="78" max="78"/>
    <col hidden="1" style="19" min="79" max="79"/>
    <col hidden="1" style="302" min="80" max="91"/>
    <col hidden="1" width="9" customWidth="1" style="302" min="92" max="16384"/>
  </cols>
  <sheetData>
    <row r="2">
      <c r="B2" s="4" t="inlineStr">
        <is>
          <t>入力箇所の説明</t>
        </is>
      </c>
    </row>
    <row r="3">
      <c r="B3" s="314" t="inlineStr">
        <is>
          <t>入力セル（手入力/プルダウンから選択）</t>
        </is>
      </c>
    </row>
    <row r="4">
      <c r="B4" s="271" t="inlineStr">
        <is>
          <t>デフォルト値</t>
        </is>
      </c>
    </row>
    <row r="5" ht="15.75" customHeight="1" s="302">
      <c r="B5" s="315" t="inlineStr">
        <is>
          <t>他セルからの参照（入力不要）</t>
        </is>
      </c>
    </row>
    <row r="6" ht="15.75" customHeight="1" s="302"/>
    <row r="7" ht="15.75" customFormat="1" customHeight="1" s="4">
      <c r="A7" s="25" t="inlineStr">
        <is>
          <t>■前提条件入力</t>
        </is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4" t="inlineStr">
        <is>
          <t>■計算</t>
        </is>
      </c>
      <c r="K7" s="24" t="n"/>
      <c r="L7" s="24" t="n"/>
      <c r="M7" s="24" t="n"/>
      <c r="N7" s="85" t="n"/>
      <c r="O7" s="24" t="n"/>
      <c r="P7" s="24" t="n"/>
      <c r="Q7" s="24" t="n"/>
      <c r="R7" s="24" t="n"/>
      <c r="S7" s="24" t="n"/>
      <c r="T7" s="24" t="n"/>
      <c r="U7" s="24" t="n"/>
      <c r="V7" s="22" t="inlineStr">
        <is>
          <t>■収支（アウトプット）</t>
        </is>
      </c>
      <c r="W7" s="22" t="n"/>
      <c r="X7" s="22" t="n"/>
      <c r="Y7" s="243" t="n"/>
      <c r="Z7" s="243" t="n"/>
      <c r="AA7" s="224" t="n"/>
      <c r="AB7" s="224" t="n"/>
      <c r="AC7" s="224" t="n"/>
      <c r="AD7" s="224" t="n"/>
      <c r="AE7" s="224" t="n"/>
      <c r="AF7" s="224" t="n"/>
      <c r="AG7" s="224" t="n"/>
      <c r="AH7" s="224" t="n"/>
      <c r="AI7" s="224" t="n"/>
      <c r="AJ7" s="224" t="n"/>
      <c r="AK7" s="397" t="n"/>
      <c r="AL7" s="397" t="n"/>
      <c r="AM7" s="397" t="n"/>
      <c r="AN7" s="316" t="n"/>
      <c r="AO7" s="397" t="n"/>
      <c r="AP7" s="224" t="n"/>
      <c r="AQ7" s="224" t="n"/>
      <c r="AR7" s="224" t="n"/>
      <c r="AS7" s="224" t="n"/>
      <c r="AT7" s="224" t="n"/>
      <c r="AU7" s="224" t="n"/>
      <c r="AV7" s="224" t="n"/>
      <c r="AW7" s="224" t="n"/>
      <c r="AX7" s="224" t="n"/>
      <c r="AY7" s="224" t="n"/>
      <c r="AZ7" s="224" t="n"/>
      <c r="BA7" s="224" t="n"/>
      <c r="BB7" s="224" t="n"/>
      <c r="BC7" s="224" t="n"/>
      <c r="BD7" s="224" t="n"/>
      <c r="BE7" s="23" t="n"/>
      <c r="BF7" s="316" t="n"/>
      <c r="BG7" s="23" t="n"/>
      <c r="BH7" s="224" t="n"/>
      <c r="BI7" s="224" t="n"/>
      <c r="BJ7" s="224" t="n"/>
      <c r="BK7" s="224" t="n"/>
      <c r="BL7" s="224" t="n"/>
      <c r="BM7" s="224" t="n"/>
      <c r="BN7" s="224" t="n"/>
      <c r="BO7" s="224" t="n"/>
      <c r="BP7" s="224" t="n"/>
      <c r="BQ7" s="224" t="n"/>
      <c r="BR7" s="224" t="n"/>
      <c r="BS7" s="224" t="n"/>
      <c r="BT7" s="224" t="n"/>
      <c r="BU7" s="224" t="n"/>
      <c r="BV7" s="224" t="n"/>
      <c r="BW7" s="23" t="n"/>
      <c r="BX7" s="23" t="n"/>
      <c r="BY7" s="23" t="n"/>
      <c r="BZ7" s="23" t="n"/>
      <c r="CA7" s="23" t="n"/>
    </row>
    <row r="8" ht="15.75" customFormat="1" customHeight="1" s="4">
      <c r="A8" s="257" t="n"/>
      <c r="B8" s="273" t="inlineStr">
        <is>
          <t>※収入・費用は全て消費税抜で入力する</t>
        </is>
      </c>
      <c r="C8" s="257" t="n"/>
      <c r="D8" s="257" t="n"/>
      <c r="E8" s="257" t="n"/>
      <c r="F8" s="257" t="n"/>
      <c r="G8" s="257" t="n"/>
      <c r="H8" s="257" t="n"/>
      <c r="I8" s="257" t="n"/>
      <c r="N8" s="5" t="n"/>
      <c r="Y8" s="258" t="n"/>
      <c r="Z8" s="258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98" t="n"/>
      <c r="AL8" s="398" t="n"/>
      <c r="AM8" s="398" t="n"/>
      <c r="AN8" s="317" t="n"/>
      <c r="AO8" s="398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5" t="n"/>
      <c r="BF8" s="317" t="n"/>
      <c r="BG8" s="5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5" t="n"/>
      <c r="BX8" s="5" t="n"/>
      <c r="BY8" s="5" t="n"/>
      <c r="BZ8" s="5" t="n"/>
      <c r="CA8" s="5" t="n"/>
    </row>
    <row r="9" ht="15.75" customHeight="1" s="302" thickBot="1">
      <c r="W9" s="55" t="inlineStr">
        <is>
          <t>VFM</t>
        </is>
      </c>
      <c r="X9" s="50" t="n"/>
      <c r="Y9" s="244" t="n"/>
      <c r="AC9" s="245" t="inlineStr">
        <is>
          <t>SPC利回り</t>
        </is>
      </c>
    </row>
    <row r="10" ht="15.75" customHeight="1" s="302">
      <c r="D10" s="0" t="inlineStr">
        <is>
          <t>単位</t>
        </is>
      </c>
      <c r="K10" s="19" t="n"/>
      <c r="L10" s="19" t="n"/>
      <c r="M10" s="19" t="n"/>
      <c r="N10" s="19" t="inlineStr">
        <is>
          <t>単位</t>
        </is>
      </c>
      <c r="O10" s="19" t="n"/>
      <c r="P10" s="19" t="n"/>
      <c r="Q10" s="19" t="inlineStr">
        <is>
          <t>備考</t>
        </is>
      </c>
      <c r="R10" s="19" t="n"/>
      <c r="S10" s="19" t="n"/>
      <c r="T10" s="19" t="n"/>
      <c r="U10" s="19" t="n"/>
      <c r="W10" s="10" t="inlineStr">
        <is>
          <t>収支差額</t>
        </is>
      </c>
      <c r="X10" s="11" t="inlineStr">
        <is>
          <t>割引・リスク調整加算後</t>
        </is>
      </c>
      <c r="Y10" s="246" t="inlineStr">
        <is>
          <t>％</t>
        </is>
      </c>
      <c r="AC10" s="247" t="inlineStr">
        <is>
          <t>PIRR</t>
        </is>
      </c>
      <c r="BQ10" s="32" t="n"/>
      <c r="BR10" s="32" t="n"/>
      <c r="BS10" s="32" t="n"/>
      <c r="BT10" s="32" t="n"/>
      <c r="BY10" s="5" t="n"/>
    </row>
    <row r="11" ht="15.75" customHeight="1" s="302" thickBot="1">
      <c r="A11" s="4" t="inlineStr">
        <is>
          <t>１．共通条件</t>
        </is>
      </c>
      <c r="J11" s="4" t="inlineStr">
        <is>
          <t>１．共通条件</t>
        </is>
      </c>
      <c r="W11" s="318">
        <f>AL58-BC58</f>
        <v/>
      </c>
      <c r="X11" s="319">
        <f>AM58-BD58</f>
        <v/>
      </c>
      <c r="Y11" s="399">
        <f>X11/AM58</f>
        <v/>
      </c>
      <c r="AC11" s="400">
        <f>XIRR(BV17:BV56,V17:V56)</f>
        <v/>
      </c>
      <c r="AD11" s="56" t="inlineStr">
        <is>
          <t>借入金利以上であることを確認</t>
        </is>
      </c>
      <c r="BQ11" s="32" t="n"/>
      <c r="BR11" s="32" t="n"/>
      <c r="BS11" s="32" t="n"/>
      <c r="BT11" s="32" t="n"/>
      <c r="BY11" s="5" t="n"/>
    </row>
    <row r="12" ht="15.75" customHeight="1" s="302"/>
    <row r="13" ht="15.75" customHeight="1" s="302">
      <c r="B13" s="0" t="inlineStr">
        <is>
          <t>1.1発注者区分</t>
        </is>
      </c>
      <c r="F13" s="322" t="inlineStr">
        <is>
          <t>市町村</t>
        </is>
      </c>
      <c r="J13" s="175" t="inlineStr">
        <is>
          <t>1.1発注者区分</t>
        </is>
      </c>
      <c r="O13" s="0" t="inlineStr">
        <is>
          <t>国</t>
        </is>
      </c>
      <c r="P13" s="0" t="inlineStr">
        <is>
          <t>都道府県</t>
        </is>
      </c>
      <c r="Q13" s="0" t="inlineStr">
        <is>
          <t>市町村</t>
        </is>
      </c>
      <c r="V13" s="5" t="inlineStr">
        <is>
          <t>スケジュール</t>
        </is>
      </c>
      <c r="W13" s="5" t="inlineStr">
        <is>
          <t>経過年度</t>
        </is>
      </c>
      <c r="X13" s="5" t="inlineStr">
        <is>
          <t>事業期間</t>
        </is>
      </c>
      <c r="Y13" s="59" t="inlineStr">
        <is>
          <t>PSC</t>
        </is>
      </c>
      <c r="Z13" s="60" t="n"/>
      <c r="AA13" s="60" t="n"/>
      <c r="AB13" s="60" t="n"/>
      <c r="AC13" s="60" t="n"/>
      <c r="AD13" s="60" t="n"/>
      <c r="AE13" s="60" t="n"/>
      <c r="AF13" s="60" t="n"/>
      <c r="AG13" s="60" t="n"/>
      <c r="AH13" s="60" t="n"/>
      <c r="AI13" s="60" t="n"/>
      <c r="AJ13" s="103" t="n"/>
      <c r="AK13" s="146" t="inlineStr">
        <is>
          <t>リスク調整額</t>
        </is>
      </c>
      <c r="AL13" s="401" t="n"/>
      <c r="AM13" s="96" t="n"/>
      <c r="AN13" s="32" t="n"/>
      <c r="AO13" s="63" t="inlineStr">
        <is>
          <t>PFI-LCC</t>
        </is>
      </c>
      <c r="AP13" s="62" t="n"/>
      <c r="AQ13" s="62" t="n"/>
      <c r="AR13" s="62" t="n"/>
      <c r="AS13" s="62" t="n"/>
      <c r="AT13" s="62" t="n"/>
      <c r="AU13" s="62" t="n"/>
      <c r="AV13" s="62" t="n"/>
      <c r="AW13" s="62" t="n"/>
      <c r="AX13" s="62" t="n"/>
      <c r="AY13" s="62" t="n"/>
      <c r="AZ13" s="62" t="n"/>
      <c r="BA13" s="62" t="n"/>
      <c r="BB13" s="62" t="n"/>
      <c r="BC13" s="211" t="n"/>
      <c r="BD13" s="211" t="inlineStr">
        <is>
          <t>収支</t>
        </is>
      </c>
      <c r="BE13" s="33" t="n"/>
      <c r="BF13" s="19" t="n"/>
      <c r="BH13" s="65" t="inlineStr">
        <is>
          <t>SPC</t>
        </is>
      </c>
      <c r="BI13" s="66" t="n"/>
      <c r="BJ13" s="66" t="n"/>
      <c r="BK13" s="66" t="n"/>
      <c r="BL13" s="66" t="n"/>
      <c r="BM13" s="66" t="n"/>
      <c r="BN13" s="66" t="n"/>
      <c r="BO13" s="66" t="n"/>
      <c r="BP13" s="66" t="n"/>
      <c r="BQ13" s="66" t="n"/>
      <c r="BR13" s="66" t="n"/>
      <c r="BS13" s="66" t="n"/>
      <c r="BT13" s="66" t="n"/>
      <c r="BU13" s="66" t="n"/>
      <c r="BV13" s="136" t="n"/>
      <c r="BX13" s="84" t="inlineStr">
        <is>
          <t>借入金元本返済</t>
        </is>
      </c>
      <c r="BY13" s="84" t="inlineStr">
        <is>
          <t>Checks</t>
        </is>
      </c>
    </row>
    <row r="14" ht="15.75" customHeight="1" s="302">
      <c r="B14" s="0" t="inlineStr">
        <is>
          <t>1.2事業方式</t>
        </is>
      </c>
      <c r="D14" s="0" t="inlineStr">
        <is>
          <t>-</t>
        </is>
      </c>
      <c r="F14" s="324" t="inlineStr">
        <is>
          <t>BTO</t>
        </is>
      </c>
      <c r="J14" s="175" t="n"/>
      <c r="Y14" s="59" t="inlineStr">
        <is>
          <t>収入</t>
        </is>
      </c>
      <c r="Z14" s="60" t="n"/>
      <c r="AA14" s="60" t="n"/>
      <c r="AB14" s="60" t="n"/>
      <c r="AC14" s="61" t="n"/>
      <c r="AD14" s="59" t="inlineStr">
        <is>
          <t>支出</t>
        </is>
      </c>
      <c r="AE14" s="60" t="n"/>
      <c r="AF14" s="60" t="n"/>
      <c r="AG14" s="60" t="n"/>
      <c r="AH14" s="60" t="n"/>
      <c r="AI14" s="325" t="n"/>
      <c r="AJ14" s="326" t="inlineStr">
        <is>
          <t>収支</t>
        </is>
      </c>
      <c r="AK14" s="96" t="n"/>
      <c r="AL14" s="327" t="n"/>
      <c r="AM14" s="328" t="inlineStr">
        <is>
          <t>収支</t>
        </is>
      </c>
      <c r="AN14" s="32" t="n"/>
      <c r="AO14" s="63" t="inlineStr">
        <is>
          <t>収入</t>
        </is>
      </c>
      <c r="AP14" s="62" t="n"/>
      <c r="AQ14" s="62" t="n"/>
      <c r="AR14" s="62" t="n"/>
      <c r="AS14" s="64" t="n"/>
      <c r="AT14" s="62" t="inlineStr">
        <is>
          <t>支出</t>
        </is>
      </c>
      <c r="AU14" s="62" t="n"/>
      <c r="AV14" s="62" t="n"/>
      <c r="AW14" s="62" t="n"/>
      <c r="AX14" s="62" t="n"/>
      <c r="AY14" s="62" t="n"/>
      <c r="AZ14" s="62" t="n"/>
      <c r="BA14" s="62" t="n"/>
      <c r="BB14" s="64" t="n"/>
      <c r="BC14" s="35" t="inlineStr">
        <is>
          <t>収支</t>
        </is>
      </c>
      <c r="BD14" s="35" t="inlineStr">
        <is>
          <t>（現在価値割引後）</t>
        </is>
      </c>
      <c r="BE14" s="33" t="n"/>
      <c r="BF14" s="19" t="n"/>
      <c r="BH14" s="65" t="inlineStr">
        <is>
          <t>収入</t>
        </is>
      </c>
      <c r="BI14" s="66" t="n"/>
      <c r="BJ14" s="66" t="n"/>
      <c r="BK14" s="66" t="n"/>
      <c r="BL14" s="66" t="n"/>
      <c r="BM14" s="66" t="n"/>
      <c r="BN14" s="67" t="n"/>
      <c r="BO14" s="65" t="inlineStr">
        <is>
          <t>支出</t>
        </is>
      </c>
      <c r="BP14" s="66" t="n"/>
      <c r="BQ14" s="66" t="n"/>
      <c r="BR14" s="66" t="n"/>
      <c r="BS14" s="66" t="n"/>
      <c r="BT14" s="66" t="n"/>
      <c r="BU14" s="67" t="n"/>
      <c r="BV14" s="44" t="inlineStr">
        <is>
          <t>収支</t>
        </is>
      </c>
      <c r="BX14" s="91" t="n"/>
      <c r="BY14" s="288" t="inlineStr">
        <is>
          <t>割賦収入＞SPC支払</t>
        </is>
      </c>
    </row>
    <row r="15" ht="32.25" customHeight="1" s="302">
      <c r="J15" s="175" t="n"/>
      <c r="N15" s="0" t="n"/>
      <c r="Y15" s="39" t="inlineStr">
        <is>
          <t>補助金</t>
        </is>
      </c>
      <c r="Z15" s="40" t="inlineStr">
        <is>
          <t>交付金</t>
        </is>
      </c>
      <c r="AA15" s="40" t="inlineStr">
        <is>
          <t>起債発行額</t>
        </is>
      </c>
      <c r="AB15" s="40" t="inlineStr">
        <is>
          <t>利用料金
収入</t>
        </is>
      </c>
      <c r="AC15" s="41" t="inlineStr">
        <is>
          <t>収入計</t>
        </is>
      </c>
      <c r="AD15" s="39" t="inlineStr">
        <is>
          <t>施設整備
費用</t>
        </is>
      </c>
      <c r="AE15" s="40" t="inlineStr">
        <is>
          <t>維持管理運営費用</t>
        </is>
      </c>
      <c r="AF15" s="40" t="inlineStr">
        <is>
          <t>その他費用</t>
        </is>
      </c>
      <c r="AG15" s="40" t="inlineStr">
        <is>
          <t>起債償還額</t>
        </is>
      </c>
      <c r="AH15" s="40" t="inlineStr">
        <is>
          <t>起債利息</t>
        </is>
      </c>
      <c r="AI15" s="329" t="inlineStr">
        <is>
          <t>支出計</t>
        </is>
      </c>
      <c r="AJ15" s="330" t="n"/>
      <c r="AK15" s="83" t="inlineStr">
        <is>
          <t>官民利払費用の差</t>
        </is>
      </c>
      <c r="AL15" s="329" t="inlineStr">
        <is>
          <t>合計</t>
        </is>
      </c>
      <c r="AM15" s="331" t="inlineStr">
        <is>
          <t>（現在価値割引後）</t>
        </is>
      </c>
      <c r="AN15" s="32" t="n"/>
      <c r="AO15" s="86" t="inlineStr">
        <is>
          <t>補助金</t>
        </is>
      </c>
      <c r="AP15" s="87" t="inlineStr">
        <is>
          <t>交付金</t>
        </is>
      </c>
      <c r="AQ15" s="87" t="inlineStr">
        <is>
          <t>起債発行額</t>
        </is>
      </c>
      <c r="AR15" s="87" t="inlineStr">
        <is>
          <t>税収</t>
        </is>
      </c>
      <c r="AS15" s="43" t="inlineStr">
        <is>
          <t>収入計</t>
        </is>
      </c>
      <c r="AT15" s="87" t="inlineStr">
        <is>
          <t>施設整備サービス対価（一括払）</t>
        </is>
      </c>
      <c r="AU15" s="87" t="inlineStr">
        <is>
          <t>施設整備サービス対価（割賦元本）</t>
        </is>
      </c>
      <c r="AV15" s="87" t="inlineStr">
        <is>
          <t>施設整備サービス対価（割賦金利）</t>
        </is>
      </c>
      <c r="AW15" s="87" t="inlineStr">
        <is>
          <t>維持管理費
サービス対価</t>
        </is>
      </c>
      <c r="AX15" s="87" t="inlineStr">
        <is>
          <t>その他費用</t>
        </is>
      </c>
      <c r="AY15" s="87" t="inlineStr">
        <is>
          <t>SPC費用</t>
        </is>
      </c>
      <c r="AZ15" s="87" t="inlineStr">
        <is>
          <t>起債償還額</t>
        </is>
      </c>
      <c r="BA15" s="87" t="inlineStr">
        <is>
          <t>起債利息</t>
        </is>
      </c>
      <c r="BB15" s="43" t="inlineStr">
        <is>
          <t>支出計</t>
        </is>
      </c>
      <c r="BC15" s="88" t="n"/>
      <c r="BD15" s="43" t="n"/>
      <c r="BE15" s="33" t="n"/>
      <c r="BF15" s="262" t="inlineStr">
        <is>
          <t>割引係数</t>
        </is>
      </c>
      <c r="BG15" s="33" t="n"/>
      <c r="BH15" s="45" t="inlineStr">
        <is>
          <t>施設整備サービス対価（一括払）</t>
        </is>
      </c>
      <c r="BI15" s="37" t="inlineStr">
        <is>
          <t>施設整備サービス対価（割賦元本）</t>
        </is>
      </c>
      <c r="BJ15" s="37" t="inlineStr">
        <is>
          <t>施設整備サービス対価（割賦金利）</t>
        </is>
      </c>
      <c r="BK15" s="37" t="inlineStr">
        <is>
          <t>維持管理費
サービス対価</t>
        </is>
      </c>
      <c r="BL15" s="37" t="inlineStr">
        <is>
          <t>SPC費用
サービス対価</t>
        </is>
      </c>
      <c r="BM15" s="37" t="inlineStr">
        <is>
          <t>利用料金
収入</t>
        </is>
      </c>
      <c r="BN15" s="38" t="inlineStr">
        <is>
          <t>収入計</t>
        </is>
      </c>
      <c r="BO15" s="37" t="inlineStr">
        <is>
          <t>施設整備費用</t>
        </is>
      </c>
      <c r="BP15" s="37" t="inlineStr">
        <is>
          <t>維持管理費</t>
        </is>
      </c>
      <c r="BQ15" s="37" t="inlineStr">
        <is>
          <t>支払利息</t>
        </is>
      </c>
      <c r="BR15" s="37" t="inlineStr">
        <is>
          <t>SPC経費</t>
        </is>
      </c>
      <c r="BS15" s="37" t="inlineStr">
        <is>
          <t>SPC当初費用
(設立費用・予備費)
費用</t>
        </is>
      </c>
      <c r="BT15" s="37" t="inlineStr">
        <is>
          <t>法人税
・公租公課</t>
        </is>
      </c>
      <c r="BU15" s="38" t="inlineStr">
        <is>
          <t>支出計</t>
        </is>
      </c>
      <c r="BV15" s="38" t="n"/>
      <c r="BX15" s="92" t="n"/>
      <c r="BY15" s="332">
        <f>IF(SUM(BY17:BY46)=0,0,1)</f>
        <v/>
      </c>
      <c r="CA15" s="0" t="n"/>
    </row>
    <row r="16" ht="15.75" customHeight="1" s="302">
      <c r="B16" s="0" t="inlineStr">
        <is>
          <t>1.3事業期間</t>
        </is>
      </c>
      <c r="C16" s="0" t="inlineStr">
        <is>
          <t>整備期間</t>
        </is>
      </c>
      <c r="D16" s="0" t="inlineStr">
        <is>
          <t>年</t>
        </is>
      </c>
      <c r="F16" s="333" t="n">
        <v>3</v>
      </c>
      <c r="J16" s="175" t="inlineStr">
        <is>
          <t>1.3事業期間（全体）</t>
        </is>
      </c>
      <c r="N16" s="19" t="inlineStr">
        <is>
          <t>年</t>
        </is>
      </c>
      <c r="O16" s="334">
        <f>SUM(F16:F17)</f>
        <v/>
      </c>
      <c r="V16" s="104" t="inlineStr">
        <is>
          <t>リスク調整額</t>
        </is>
      </c>
      <c r="Y16" s="402" t="n"/>
      <c r="Z16" s="403" t="n"/>
      <c r="AA16" s="403" t="n"/>
      <c r="AB16" s="403" t="n"/>
      <c r="AC16" s="403" t="n"/>
      <c r="AD16" s="403" t="n"/>
      <c r="AE16" s="403" t="n"/>
      <c r="AF16" s="403" t="n"/>
      <c r="AG16" s="403" t="n"/>
      <c r="AH16" s="403" t="n"/>
      <c r="AI16" s="403" t="n"/>
      <c r="AJ16" s="403" t="n"/>
      <c r="AK16" s="404" t="n"/>
      <c r="AL16" s="405">
        <f>-SUM(BS17,SUM(BR17:BR46),O105,O110)</f>
        <v/>
      </c>
      <c r="AM16" s="405">
        <f>AL16*BF16</f>
        <v/>
      </c>
      <c r="AN16" s="337" t="n"/>
      <c r="AO16" s="406" t="n"/>
      <c r="AP16" s="403" t="n"/>
      <c r="AQ16" s="403" t="n"/>
      <c r="AR16" s="403" t="n"/>
      <c r="AS16" s="403" t="n"/>
      <c r="AT16" s="403" t="n"/>
      <c r="AU16" s="403" t="n"/>
      <c r="AV16" s="403" t="n"/>
      <c r="AW16" s="403" t="n"/>
      <c r="AX16" s="403" t="n"/>
      <c r="AY16" s="403" t="n"/>
      <c r="AZ16" s="403" t="n"/>
      <c r="BA16" s="403" t="n"/>
      <c r="BB16" s="403" t="n"/>
      <c r="BC16" s="403" t="n"/>
      <c r="BD16" s="407" t="n"/>
      <c r="BE16" s="312" t="n"/>
      <c r="BF16" s="341" t="n">
        <v>1</v>
      </c>
      <c r="BH16" s="408" t="n"/>
      <c r="BI16" s="409" t="n"/>
      <c r="BJ16" s="409" t="n"/>
      <c r="BK16" s="409" t="n"/>
      <c r="BL16" s="409" t="n"/>
      <c r="BM16" s="409" t="n"/>
      <c r="BN16" s="409" t="n"/>
      <c r="BO16" s="409" t="n"/>
      <c r="BP16" s="409" t="n"/>
      <c r="BQ16" s="409" t="n"/>
      <c r="BR16" s="409" t="n"/>
      <c r="BS16" s="409" t="n"/>
      <c r="BT16" s="409" t="n"/>
      <c r="BU16" s="409" t="n"/>
      <c r="BV16" s="409" t="n"/>
      <c r="BW16" s="337" t="n"/>
      <c r="BX16" s="348" t="n"/>
      <c r="BY16" s="283" t="n"/>
      <c r="CA16" s="0" t="n"/>
    </row>
    <row r="17" ht="15.75" customHeight="1" s="302">
      <c r="C17" s="0" t="inlineStr">
        <is>
          <t>維持管理・運営期間</t>
        </is>
      </c>
      <c r="D17" s="0" t="inlineStr">
        <is>
          <t>年</t>
        </is>
      </c>
      <c r="F17" s="333" t="n">
        <v>20</v>
      </c>
      <c r="J17" s="150" t="n"/>
      <c r="V17" s="58">
        <f>IF(W17=1,DATE(YEAR($F$18)+(MONTH($F$18)&gt;=4),4,0),EOMONTH(V15,12))</f>
        <v/>
      </c>
      <c r="W17" s="6" t="n">
        <v>1</v>
      </c>
      <c r="X17" s="282">
        <f>IF(W17&gt;$O$16,"-",IF($W17&lt;=$F$16,"整備期間","維持管理・運営期間"))</f>
        <v/>
      </c>
      <c r="Y17" s="410">
        <f>IF($W17=$F$16,$O$61,0)</f>
        <v/>
      </c>
      <c r="Z17" s="396">
        <f>IF($W17=$F$16,$O$63,0)</f>
        <v/>
      </c>
      <c r="AA17" s="396">
        <f>IF($W17=$F$16,$O$62,0)</f>
        <v/>
      </c>
      <c r="AB17" s="396">
        <f>IF(X17="維持管理・運営期間",$F$56,0)</f>
        <v/>
      </c>
      <c r="AC17" s="411">
        <f>SUM(Y17:Z17,AB17)</f>
        <v/>
      </c>
      <c r="AD17" s="410">
        <f>IF($W17=$F$16,$O$30,0)</f>
        <v/>
      </c>
      <c r="AE17" s="396">
        <f>IF($X17="維持管理・運営期間",$O$41,0)</f>
        <v/>
      </c>
      <c r="AF17" s="396">
        <f>IF(AND($W17&gt;0,$W17&lt;=$O$16),$E$45,0)</f>
        <v/>
      </c>
      <c r="AG17" s="396">
        <f>IF(AND(SUM($AA$16:AA16)&gt;0,SUM($AG$16:AG16)&lt;$O$62,$W17&gt;=$O$65),$O$64,0)</f>
        <v/>
      </c>
      <c r="AH17" s="396">
        <f>IF(SUM($AA16:$AA$17)&gt;0,($O$62-SUM($AG16:$AG$17))*$E$65,0)</f>
        <v/>
      </c>
      <c r="AI17" s="411">
        <f>SUM(AD17:AF17)</f>
        <v/>
      </c>
      <c r="AJ17" s="396">
        <f>AC17-AI17</f>
        <v/>
      </c>
      <c r="AK17" s="412" t="n"/>
      <c r="AL17" s="413" t="n"/>
      <c r="AM17" s="411">
        <f>AJ17*$BF17</f>
        <v/>
      </c>
      <c r="AN17" s="349" t="n"/>
      <c r="AO17" s="410">
        <f>IF($W17=$F$16,$P$61,0)</f>
        <v/>
      </c>
      <c r="AP17" s="396">
        <f>IF($W17=$F$16,$P$63,0)</f>
        <v/>
      </c>
      <c r="AQ17" s="396">
        <f>IF($W17=$F$16,$P$62,0)</f>
        <v/>
      </c>
      <c r="AR17" s="396">
        <f>IF($W17&lt;$O$16,IF(W17=$F$16,$U$93,$U$94),0)</f>
        <v/>
      </c>
      <c r="AS17" s="411">
        <f>SUM(AO17:AP17,AR17)</f>
        <v/>
      </c>
      <c r="AT17" s="396">
        <f>IF(W17=$F$16,$P$30,0)</f>
        <v/>
      </c>
      <c r="AU17" s="396">
        <f>IFERROR(-PPMT($P$36,W17-$F$16,$F$17,SUM(P$31,P$51)),0)</f>
        <v/>
      </c>
      <c r="AV17" s="396">
        <f>IFERROR(-IPMT($P$36,W17-$F$16,$F$17,SUM($P$31,$P$51)),0)</f>
        <v/>
      </c>
      <c r="AW17" s="396">
        <f>IF(AND(W17&gt;$F$16,W17&lt;=SUM($F$16:$F$17)),$P$43,0)</f>
        <v/>
      </c>
      <c r="AX17" s="396">
        <f>IF($W17=1,$F$44,0)+IF(AND($W17&gt;0,$W17&lt;=$O$16),$F$45,0)</f>
        <v/>
      </c>
      <c r="AY17" s="396">
        <f>IF(AND(W17&gt;$F$16,W17&lt;=SUM($F$16:$F$17)),$P$54,0)</f>
        <v/>
      </c>
      <c r="AZ17" s="396">
        <f>IF(AND(SUM($AQ$16:AQ16)&gt;0,SUM($AZ$16:AZ16)&lt;$P$62,$W17&gt;=$P$65),$P$64,0)</f>
        <v/>
      </c>
      <c r="BA17" s="396">
        <f>IF(SUM($AQ16:$AQ$17)&gt;0,($P$62-SUM($AZ16:$AZ$17))*$F$65,0)</f>
        <v/>
      </c>
      <c r="BB17" s="411">
        <f>SUM(AT17:AY17)</f>
        <v/>
      </c>
      <c r="BC17" s="396">
        <f>AS17-BB17</f>
        <v/>
      </c>
      <c r="BD17" s="411">
        <f>BC17*$BF17</f>
        <v/>
      </c>
      <c r="BE17" s="393" t="n"/>
      <c r="BF17" s="46">
        <f>1/(1+$O$22)</f>
        <v/>
      </c>
      <c r="BH17" s="414">
        <f>AT17</f>
        <v/>
      </c>
      <c r="BI17" s="414">
        <f>AU17</f>
        <v/>
      </c>
      <c r="BJ17" s="353">
        <f>AV17</f>
        <v/>
      </c>
      <c r="BK17" s="353">
        <f>AW17</f>
        <v/>
      </c>
      <c r="BL17" s="353">
        <f>AY17</f>
        <v/>
      </c>
      <c r="BM17" s="353">
        <f>IF($W17&gt;$F$16,$F$56,0)</f>
        <v/>
      </c>
      <c r="BN17" s="415">
        <f>SUM(BH17:BM17)</f>
        <v/>
      </c>
      <c r="BO17" s="353">
        <f>IF($W17=$F$16,$P$32,0)</f>
        <v/>
      </c>
      <c r="BP17" s="353">
        <f>IF(AND(W17&gt;$F$16,W17&lt;=SUM($F$16:$F$17)),$P$41,0)</f>
        <v/>
      </c>
      <c r="BQ17" s="353">
        <f>IFERROR(-IPMT($P$67,W17-$F$16,$F$17,SUM(P$31,P$51)),0)</f>
        <v/>
      </c>
      <c r="BR17" s="353">
        <f>IF($W17&lt;=$O$16,$F$105,0)</f>
        <v/>
      </c>
      <c r="BS17" s="353">
        <f>IF($W17=1,SUM($O$103,$O$105),0)</f>
        <v/>
      </c>
      <c r="BT17" s="353">
        <f>IF($W17&lt;$O$16,IF(W17=$F$16,$P$94,$P$95),0)</f>
        <v/>
      </c>
      <c r="BU17" s="415">
        <f>SUM(BO17:BP17,BR17:BT17)</f>
        <v/>
      </c>
      <c r="BV17" s="415">
        <f>BN17-BU17</f>
        <v/>
      </c>
      <c r="BW17" s="337" t="n"/>
      <c r="BX17" s="338">
        <f>IFERROR(-PPMT($P$67,$W17-$F$16,$F$17,SUM(P$31,P$51)),0)</f>
        <v/>
      </c>
      <c r="BY17" s="354" t="n"/>
      <c r="CA17" s="0" t="n"/>
    </row>
    <row r="18" ht="15.75" customHeight="1" s="302">
      <c r="C18" s="0" t="inlineStr">
        <is>
          <t>整備期間開始日</t>
        </is>
      </c>
      <c r="F18" s="68" t="inlineStr">
        <is>
          <t>2024-05-21</t>
        </is>
      </c>
      <c r="J18" s="150" t="n"/>
      <c r="V18" s="58">
        <f>IF(W18=1,DATE(YEAR($F$18)+(MONTH($F$18)&gt;=4),4,0),EOMONTH(V17,12))</f>
        <v/>
      </c>
      <c r="W18" s="7" t="n">
        <v>2</v>
      </c>
      <c r="X18" s="282">
        <f>IF(W18&gt;$O$16,"-",IF($W18&lt;=$F$16,"整備期間","維持管理・運営期間"))</f>
        <v/>
      </c>
      <c r="Y18" s="410">
        <f>IF($W18=$F$16,$O$61,0)</f>
        <v/>
      </c>
      <c r="Z18" s="396">
        <f>IF($W18=$F$16,$O$63,0)</f>
        <v/>
      </c>
      <c r="AA18" s="396">
        <f>IF($W18=$F$16,$O$62,0)</f>
        <v/>
      </c>
      <c r="AB18" s="396">
        <f>IF(X18="維持管理・運営期間",$F$56,0)</f>
        <v/>
      </c>
      <c r="AC18" s="411">
        <f>SUM(Y18:Z18,AB18)</f>
        <v/>
      </c>
      <c r="AD18" s="410">
        <f>IF($W18=$F$16,$O$30,0)</f>
        <v/>
      </c>
      <c r="AE18" s="396">
        <f>IF($X18="維持管理・運営期間",$O$41,0)</f>
        <v/>
      </c>
      <c r="AF18" s="396">
        <f>IF(AND($W18&gt;0,$W18&lt;=$O$16),$E$45,0)</f>
        <v/>
      </c>
      <c r="AG18" s="396">
        <f>IF(AND(SUM($AA$16:AA17)&gt;0,SUM($AG$16:AG17)&lt;$O$62,$W18&gt;=$O$65),$O$64,0)</f>
        <v/>
      </c>
      <c r="AH18" s="353">
        <f>IF(SUM($AA17:$AA$17)&gt;0,($O$62-SUM($AG17:$AG$17))*$E$65,0)</f>
        <v/>
      </c>
      <c r="AI18" s="411">
        <f>SUM(AD18:AF18)</f>
        <v/>
      </c>
      <c r="AJ18" s="353">
        <f>AC18-AI18</f>
        <v/>
      </c>
      <c r="AK18" s="412" t="n"/>
      <c r="AL18" s="413" t="n"/>
      <c r="AM18" s="415">
        <f>AJ18*$BF18</f>
        <v/>
      </c>
      <c r="AN18" s="349" t="n"/>
      <c r="AO18" s="414">
        <f>IF($W18=$F$16,$P$61,0)</f>
        <v/>
      </c>
      <c r="AP18" s="353">
        <f>IF($W18=$F$16,$P$63,0)</f>
        <v/>
      </c>
      <c r="AQ18" s="353">
        <f>IF($W18=$F$16,$P$62,0)</f>
        <v/>
      </c>
      <c r="AR18" s="396">
        <f>IF($W18&lt;$O$16,IF(W18=$F$16,$U$93,$U$94),0)</f>
        <v/>
      </c>
      <c r="AS18" s="411">
        <f>SUM(AO18:AP18,AR18)</f>
        <v/>
      </c>
      <c r="AT18" s="396">
        <f>IF(W18=$F$16,$P$30,0)</f>
        <v/>
      </c>
      <c r="AU18" s="396">
        <f>IFERROR(-PPMT($P$36,W18-$F$16,$F$17,SUM(P$31,P$51)),0)</f>
        <v/>
      </c>
      <c r="AV18" s="396">
        <f>IFERROR(-IPMT($P$36,W18-$F$16,$F$17,SUM($P$31,$P$51)),0)</f>
        <v/>
      </c>
      <c r="AW18" s="396">
        <f>IF(AND(W18&gt;$F$16,W18&lt;=SUM($F$16:$F$17)),$P$43,0)</f>
        <v/>
      </c>
      <c r="AX18" s="396">
        <f>IF($W18=1,$F$44,0)+IF(AND($W18&gt;0,$W18&lt;=$O$16),$F$45,0)</f>
        <v/>
      </c>
      <c r="AY18" s="396">
        <f>IF(AND(W18&gt;$F$16,W18&lt;=SUM($F$16:$F$17)),$P$54,0)</f>
        <v/>
      </c>
      <c r="AZ18" s="396">
        <f>IF(AND(SUM($AQ$16:AQ17)&gt;0,SUM($AZ$16:AZ17)&lt;$P$62,$W18&gt;=$P$65),$P$64,0)</f>
        <v/>
      </c>
      <c r="BA18" s="396">
        <f>IF(SUM($AQ17:$AQ$17)&gt;0,($P$62-SUM($AZ17:$AZ$17))*$F$65,0)</f>
        <v/>
      </c>
      <c r="BB18" s="411">
        <f>SUM(AT18:AY18)</f>
        <v/>
      </c>
      <c r="BC18" s="353">
        <f>AS18-BB18</f>
        <v/>
      </c>
      <c r="BD18" s="415">
        <f>BC18*$BF18</f>
        <v/>
      </c>
      <c r="BE18" s="393" t="n"/>
      <c r="BF18" s="46">
        <f>BF17/(1+$O$22)</f>
        <v/>
      </c>
      <c r="BH18" s="414">
        <f>AT18</f>
        <v/>
      </c>
      <c r="BI18" s="414">
        <f>AU18</f>
        <v/>
      </c>
      <c r="BJ18" s="353">
        <f>AV18</f>
        <v/>
      </c>
      <c r="BK18" s="353">
        <f>AW18</f>
        <v/>
      </c>
      <c r="BL18" s="353">
        <f>AY18</f>
        <v/>
      </c>
      <c r="BM18" s="353">
        <f>IF($W18&gt;$F$16,$F$56,0)</f>
        <v/>
      </c>
      <c r="BN18" s="415">
        <f>SUM(BH18:BM18)</f>
        <v/>
      </c>
      <c r="BO18" s="353">
        <f>IF($W18=$F$16,$P$32,0)</f>
        <v/>
      </c>
      <c r="BP18" s="353">
        <f>IF(AND(W18&gt;$F$16,W18&lt;=SUM($F$16:$F$17)),$P$41,0)</f>
        <v/>
      </c>
      <c r="BQ18" s="353">
        <f>IFERROR(-IPMT($P$67,W18-$F$16,$F$17,SUM(P$31,P$51)),0)</f>
        <v/>
      </c>
      <c r="BR18" s="353">
        <f>IF($W18&lt;=$O$16,$F$105,0)</f>
        <v/>
      </c>
      <c r="BS18" s="353">
        <f>IF($W18=1,SUM($O$103,$O$105),0)</f>
        <v/>
      </c>
      <c r="BT18" s="353">
        <f>IF($W18&lt;$O$16,IF(W18=$F$16,$P$94,$P$95),0)</f>
        <v/>
      </c>
      <c r="BU18" s="415">
        <f>SUM(BO18:BP18,BR18:BT18)</f>
        <v/>
      </c>
      <c r="BV18" s="415">
        <f>BN18-BU18</f>
        <v/>
      </c>
      <c r="BW18" s="337" t="n"/>
      <c r="BX18" s="338">
        <f>IFERROR(-PPMT($P$67,$W18-$F$16,$F$17,SUM(P$31,P$51)),0)</f>
        <v/>
      </c>
      <c r="BY18" s="355" t="n"/>
      <c r="CA18" s="0" t="n"/>
    </row>
    <row r="19" customFormat="1" s="176">
      <c r="C19" s="176" t="inlineStr">
        <is>
          <t>整備期間終了日</t>
        </is>
      </c>
      <c r="F19" s="137">
        <f>EOMONTH(F18,12*F16-1)</f>
        <v/>
      </c>
      <c r="J19" s="197" t="n"/>
      <c r="N19" s="177" t="n"/>
      <c r="V19" s="58">
        <f>IF(W19=1,DATE(YEAR($F$18)+(MONTH($F$18)&gt;=4),4,0),EOMONTH(V18,12))</f>
        <v/>
      </c>
      <c r="W19" s="7" t="n">
        <v>3</v>
      </c>
      <c r="X19" s="282">
        <f>IF(W19&gt;$O$16,"-",IF($W19&lt;=$F$16,"整備期間","維持管理・運営期間"))</f>
        <v/>
      </c>
      <c r="Y19" s="410">
        <f>IF($W19=$F$16,$O$61,0)</f>
        <v/>
      </c>
      <c r="Z19" s="396">
        <f>IF($W19=$F$16,$O$63,0)</f>
        <v/>
      </c>
      <c r="AA19" s="396">
        <f>IF($W19=$F$16,$O$62,0)</f>
        <v/>
      </c>
      <c r="AB19" s="396">
        <f>IF(X19="維持管理・運営期間",$F$56,0)</f>
        <v/>
      </c>
      <c r="AC19" s="411">
        <f>SUM(Y19:Z19,AB19)</f>
        <v/>
      </c>
      <c r="AD19" s="410">
        <f>IF($W19=$F$16,$O$30,0)</f>
        <v/>
      </c>
      <c r="AE19" s="396">
        <f>IF($X19="維持管理・運営期間",$O$41,0)</f>
        <v/>
      </c>
      <c r="AF19" s="396">
        <f>IF(AND($W19&gt;0,$W19&lt;=$O$16),$E$45,0)</f>
        <v/>
      </c>
      <c r="AG19" s="396">
        <f>IF(AND(SUM($AA$16:AA18)&gt;0,SUM($AG$16:AG18)&lt;$O$62,$W19&gt;=$O$65),$O$64,0)</f>
        <v/>
      </c>
      <c r="AH19" s="353">
        <f>IF(SUM($AA$17:$AA18)&gt;0,($O$62-SUM($AG$17:$AG18))*$E$65,0)</f>
        <v/>
      </c>
      <c r="AI19" s="411">
        <f>SUM(AD19:AF19)</f>
        <v/>
      </c>
      <c r="AJ19" s="353">
        <f>AC19-AI19</f>
        <v/>
      </c>
      <c r="AK19" s="412" t="n"/>
      <c r="AL19" s="413" t="n"/>
      <c r="AM19" s="415">
        <f>AJ19*$BF19</f>
        <v/>
      </c>
      <c r="AN19" s="349" t="n"/>
      <c r="AO19" s="414">
        <f>IF($W19=$F$16,$P$61,0)</f>
        <v/>
      </c>
      <c r="AP19" s="353">
        <f>IF($W19=$F$16,$P$63,0)</f>
        <v/>
      </c>
      <c r="AQ19" s="353">
        <f>IF($W19=$F$16,$P$62,0)</f>
        <v/>
      </c>
      <c r="AR19" s="396">
        <f>IF($W19&lt;$O$16,IF(W19=$F$16,$U$93,$U$94),0)</f>
        <v/>
      </c>
      <c r="AS19" s="411">
        <f>SUM(AO19:AP19,AR19)</f>
        <v/>
      </c>
      <c r="AT19" s="396">
        <f>IF(W19=$F$16,$P$30,0)</f>
        <v/>
      </c>
      <c r="AU19" s="396">
        <f>IFERROR(-PPMT($P$36,W19-$F$16,$F$17,SUM(P$31,P$51)),0)</f>
        <v/>
      </c>
      <c r="AV19" s="396">
        <f>IFERROR(-IPMT($P$36,W19-$F$16,$F$17,SUM($P$31,$P$51)),0)</f>
        <v/>
      </c>
      <c r="AW19" s="396">
        <f>IF(AND(W19&gt;$F$16,W19&lt;=SUM($F$16:$F$17)),$P$43,0)</f>
        <v/>
      </c>
      <c r="AX19" s="396">
        <f>IF($W19=1,$F$44,0)+IF(AND($W19&gt;0,$W19&lt;=$O$16),$F$45,0)</f>
        <v/>
      </c>
      <c r="AY19" s="396">
        <f>IF(AND(W19&gt;$F$16,W19&lt;=SUM($F$16:$F$17)),$P$54,0)</f>
        <v/>
      </c>
      <c r="AZ19" s="396">
        <f>IF(AND(SUM($AQ$16:AQ18)&gt;0,SUM($AZ$16:AZ18)&lt;$P$62,$W19&gt;=$P$65),$P$64,0)</f>
        <v/>
      </c>
      <c r="BA19" s="396">
        <f>IF(SUM($AQ$17:$AQ18)&gt;0,($P$62-SUM($AZ$17:$AZ18))*$F$65,0)</f>
        <v/>
      </c>
      <c r="BB19" s="411">
        <f>SUM(AT19:AY19)</f>
        <v/>
      </c>
      <c r="BC19" s="353">
        <f>AS19-BB19</f>
        <v/>
      </c>
      <c r="BD19" s="415">
        <f>BC19*$BF19</f>
        <v/>
      </c>
      <c r="BE19" s="393" t="n"/>
      <c r="BF19" s="46">
        <f>BF18/(1+$O$22)</f>
        <v/>
      </c>
      <c r="BG19" s="19" t="n"/>
      <c r="BH19" s="414">
        <f>AT19</f>
        <v/>
      </c>
      <c r="BI19" s="414">
        <f>AU19</f>
        <v/>
      </c>
      <c r="BJ19" s="353">
        <f>AV19</f>
        <v/>
      </c>
      <c r="BK19" s="353">
        <f>AW19</f>
        <v/>
      </c>
      <c r="BL19" s="353">
        <f>AY19</f>
        <v/>
      </c>
      <c r="BM19" s="353">
        <f>IF($W19&gt;$F$16,$F$56,0)</f>
        <v/>
      </c>
      <c r="BN19" s="415">
        <f>SUM(BH19:BM19)</f>
        <v/>
      </c>
      <c r="BO19" s="353">
        <f>IF($W19=$F$16,$P$32,0)</f>
        <v/>
      </c>
      <c r="BP19" s="353">
        <f>IF(AND(W19&gt;$F$16,W19&lt;=SUM($F$16:$F$17)),$P$41,0)</f>
        <v/>
      </c>
      <c r="BQ19" s="353">
        <f>IFERROR(-IPMT($P$67,W19-$F$16,$F$17,SUM(P$31,P$51)),0)</f>
        <v/>
      </c>
      <c r="BR19" s="353">
        <f>IF($W19&lt;=$O$16,$F$105,0)</f>
        <v/>
      </c>
      <c r="BS19" s="353">
        <f>IF($W19=1,SUM($O$103,$O$105),0)</f>
        <v/>
      </c>
      <c r="BT19" s="353">
        <f>IF($W19&lt;$O$16,IF(W19=$F$16,$P$94,$P$95),0)</f>
        <v/>
      </c>
      <c r="BU19" s="415">
        <f>SUM(BO19:BP19,BR19:BT19)</f>
        <v/>
      </c>
      <c r="BV19" s="415">
        <f>BN19-BU19</f>
        <v/>
      </c>
      <c r="BW19" s="337" t="n"/>
      <c r="BX19" s="338">
        <f>IFERROR(-PPMT($P$67,$W19-$F$16,$F$17,SUM(P$31,P$51)),0)</f>
        <v/>
      </c>
      <c r="BY19" s="355" t="n"/>
      <c r="BZ19" s="177" t="n"/>
    </row>
    <row r="20" ht="15.75" customHeight="1" s="302">
      <c r="C20" s="0" t="inlineStr">
        <is>
          <t>維持管理運営期間開始日</t>
        </is>
      </c>
      <c r="F20" s="137">
        <f>F19+1</f>
        <v/>
      </c>
      <c r="J20" s="175" t="n"/>
      <c r="V20" s="58">
        <f>IF(W20=1,DATE(YEAR($F$18)+(MONTH($F$18)&gt;=4),4,0),EOMONTH(V19,12))</f>
        <v/>
      </c>
      <c r="W20" s="7" t="n">
        <v>4</v>
      </c>
      <c r="X20" s="282">
        <f>IF(W20&gt;$O$16,"-",IF($W20&lt;=$F$16,"整備期間","維持管理・運営期間"))</f>
        <v/>
      </c>
      <c r="Y20" s="410">
        <f>IF($W20=$F$16,$O$61,0)</f>
        <v/>
      </c>
      <c r="Z20" s="396">
        <f>IF($W20=$F$16,$O$63,0)</f>
        <v/>
      </c>
      <c r="AA20" s="396">
        <f>IF($W20=$F$16,$O$62,0)</f>
        <v/>
      </c>
      <c r="AB20" s="396">
        <f>IF(X20="維持管理・運営期間",$F$56,0)</f>
        <v/>
      </c>
      <c r="AC20" s="411">
        <f>SUM(Y20:Z20,AB20)</f>
        <v/>
      </c>
      <c r="AD20" s="410">
        <f>IF($W20=$F$16,$O$30,0)</f>
        <v/>
      </c>
      <c r="AE20" s="396">
        <f>IF($X20="維持管理・運営期間",$O$41,0)</f>
        <v/>
      </c>
      <c r="AF20" s="396">
        <f>IF(AND($W20&gt;0,$W20&lt;=$O$16),$E$45,0)</f>
        <v/>
      </c>
      <c r="AG20" s="396">
        <f>IF(AND(SUM($AA$16:AA19)&gt;0,SUM($AG$16:AG19)&lt;$O$62,$W20&gt;=$O$65),$O$64,0)</f>
        <v/>
      </c>
      <c r="AH20" s="353">
        <f>IF(SUM($AA$17:$AA19)&gt;0,($O$62-SUM($AG$17:$AG19))*$E$65,0)</f>
        <v/>
      </c>
      <c r="AI20" s="411">
        <f>SUM(AD20:AF20)</f>
        <v/>
      </c>
      <c r="AJ20" s="353">
        <f>AC20-AI20</f>
        <v/>
      </c>
      <c r="AK20" s="405">
        <f>(SUM($P$31,$P$51)-SUM($AU$17:AU19))*$O$109</f>
        <v/>
      </c>
      <c r="AL20" s="413" t="n"/>
      <c r="AM20" s="415">
        <f>AJ20*$BF20</f>
        <v/>
      </c>
      <c r="AN20" s="349" t="n"/>
      <c r="AO20" s="414">
        <f>IF($W20=$F$16,$P$61,0)</f>
        <v/>
      </c>
      <c r="AP20" s="353">
        <f>IF($W20=$F$16,$P$63,0)</f>
        <v/>
      </c>
      <c r="AQ20" s="353">
        <f>IF($W20=$F$16,$P$62,0)</f>
        <v/>
      </c>
      <c r="AR20" s="396">
        <f>IF($W20&lt;$O$16,IF(W20=$F$16,$U$93,$U$94),0)</f>
        <v/>
      </c>
      <c r="AS20" s="411">
        <f>SUM(AO20:AP20,AR20)</f>
        <v/>
      </c>
      <c r="AT20" s="396">
        <f>IF(W20=$F$16,$P$30,0)</f>
        <v/>
      </c>
      <c r="AU20" s="396">
        <f>IFERROR(-PPMT($P$36,W20-$F$16,$F$17,SUM(P$31,P$51)),0)</f>
        <v/>
      </c>
      <c r="AV20" s="396">
        <f>IFERROR(-IPMT($P$36,W20-$F$16,$F$17,SUM($P$31,$P$51)),0)</f>
        <v/>
      </c>
      <c r="AW20" s="396">
        <f>IF(AND(W20&gt;$F$16,W20&lt;=SUM($F$16:$F$17)),$P$43,0)</f>
        <v/>
      </c>
      <c r="AX20" s="396">
        <f>IF($W20=1,$F$44,0)+IF(AND($W20&gt;0,$W20&lt;=$O$16),$F$45,0)</f>
        <v/>
      </c>
      <c r="AY20" s="396">
        <f>IF(AND(W20&gt;$F$16,W20&lt;=SUM($F$16:$F$17)),$P$54,0)</f>
        <v/>
      </c>
      <c r="AZ20" s="396">
        <f>IF(AND(SUM($AQ$16:AQ19)&gt;0,SUM($AZ$16:AZ19)&lt;$P$62,$W20&gt;=$P$65),$P$64,0)</f>
        <v/>
      </c>
      <c r="BA20" s="396">
        <f>IF(SUM($AQ$17:$AQ19)&gt;0,($P$62-SUM($AZ$17:$AZ19))*$F$65,0)</f>
        <v/>
      </c>
      <c r="BB20" s="411">
        <f>SUM(AT20:AY20)</f>
        <v/>
      </c>
      <c r="BC20" s="353">
        <f>AS20-BB20</f>
        <v/>
      </c>
      <c r="BD20" s="415">
        <f>BC20*$BF20</f>
        <v/>
      </c>
      <c r="BE20" s="393" t="n"/>
      <c r="BF20" s="46">
        <f>BF19/(1+$O$22)</f>
        <v/>
      </c>
      <c r="BH20" s="414">
        <f>AT20</f>
        <v/>
      </c>
      <c r="BI20" s="414">
        <f>AU20</f>
        <v/>
      </c>
      <c r="BJ20" s="353">
        <f>AV20</f>
        <v/>
      </c>
      <c r="BK20" s="353">
        <f>AW20</f>
        <v/>
      </c>
      <c r="BL20" s="353">
        <f>AY20</f>
        <v/>
      </c>
      <c r="BM20" s="353">
        <f>IF($W20&gt;$F$16,$F$56,0)</f>
        <v/>
      </c>
      <c r="BN20" s="415">
        <f>SUM(BH20:BM20)</f>
        <v/>
      </c>
      <c r="BO20" s="353">
        <f>IF($W20=$F$16,$P$32,0)</f>
        <v/>
      </c>
      <c r="BP20" s="353">
        <f>IF(AND(W20&gt;$F$16,W20&lt;=SUM($F$16:$F$17)),$P$41,0)</f>
        <v/>
      </c>
      <c r="BQ20" s="353">
        <f>IFERROR(-IPMT($P$67,W20-$F$16,$F$17,SUM(P$31,P$51)),0)</f>
        <v/>
      </c>
      <c r="BR20" s="353">
        <f>IF($W20&lt;=$O$16,$F$105,0)</f>
        <v/>
      </c>
      <c r="BS20" s="353">
        <f>IF($W20=1,SUM($O$103,$O$105),0)</f>
        <v/>
      </c>
      <c r="BT20" s="353">
        <f>IF($W20&lt;$O$16,IF(W20=$F$16,$P$94,$P$95),0)</f>
        <v/>
      </c>
      <c r="BU20" s="415">
        <f>SUM(BO20:BP20,BR20:BT20)</f>
        <v/>
      </c>
      <c r="BV20" s="415">
        <f>BN20-BU20</f>
        <v/>
      </c>
      <c r="BW20" s="337" t="n"/>
      <c r="BX20" s="338">
        <f>IFERROR(-PPMT($P$67,$W20-$F$16,$F$17,SUM(P$31,P$51)),0)</f>
        <v/>
      </c>
      <c r="BY20" s="356">
        <f>IF(BV20-BX20&gt;=0,0,1)</f>
        <v/>
      </c>
      <c r="CA20" s="0" t="n"/>
    </row>
    <row r="21" ht="15.75" customHeight="1" s="302">
      <c r="C21" s="0" t="inlineStr">
        <is>
          <t>維持管理運営期間終了日</t>
        </is>
      </c>
      <c r="F21" s="137">
        <f>EOMONTH(F20,12*F17-1)</f>
        <v/>
      </c>
      <c r="J21" s="175" t="n"/>
      <c r="V21" s="58">
        <f>IF(W21=1,DATE(YEAR($F$18)+(MONTH($F$18)&gt;=4),4,0),EOMONTH(V20,12))</f>
        <v/>
      </c>
      <c r="W21" s="7" t="n">
        <v>5</v>
      </c>
      <c r="X21" s="282">
        <f>IF(W21&gt;$O$16,"-",IF($W21&lt;=$F$16,"整備期間","維持管理・運営期間"))</f>
        <v/>
      </c>
      <c r="Y21" s="410">
        <f>IF($W21=$F$16,$O$61,0)</f>
        <v/>
      </c>
      <c r="Z21" s="396">
        <f>IF($W21=$F$16,$O$63,0)</f>
        <v/>
      </c>
      <c r="AA21" s="396">
        <f>IF($W21=$F$16,$O$62,0)</f>
        <v/>
      </c>
      <c r="AB21" s="396">
        <f>IF(X21="維持管理・運営期間",$F$56,0)</f>
        <v/>
      </c>
      <c r="AC21" s="411">
        <f>SUM(Y21:Z21,AB21)</f>
        <v/>
      </c>
      <c r="AD21" s="410">
        <f>IF($W21=$F$16,$O$30,0)</f>
        <v/>
      </c>
      <c r="AE21" s="396">
        <f>IF($X21="維持管理・運営期間",$O$41,0)</f>
        <v/>
      </c>
      <c r="AF21" s="396">
        <f>IF(AND($W21&gt;0,$W21&lt;=$O$16),$E$45,0)</f>
        <v/>
      </c>
      <c r="AG21" s="396">
        <f>IF(AND(SUM($AA$16:AA20)&gt;0,SUM($AG$16:AG20)&lt;$O$62,$W21&gt;=$O$65),$O$64,0)</f>
        <v/>
      </c>
      <c r="AH21" s="353">
        <f>IF(SUM($AA$17:$AA20)&gt;0,($O$62-SUM($AG$17:$AG20))*$E$65,0)</f>
        <v/>
      </c>
      <c r="AI21" s="411">
        <f>SUM(AD21:AF21)</f>
        <v/>
      </c>
      <c r="AJ21" s="353">
        <f>AC21-AI21</f>
        <v/>
      </c>
      <c r="AK21" s="405">
        <f>(SUM($P$31,$P$51)-SUM($AU$17:AU20))*$O$109</f>
        <v/>
      </c>
      <c r="AL21" s="413" t="n"/>
      <c r="AM21" s="415">
        <f>AJ21*$BF21</f>
        <v/>
      </c>
      <c r="AN21" s="349" t="n"/>
      <c r="AO21" s="414">
        <f>IF($W21=$F$16,$P$61,0)</f>
        <v/>
      </c>
      <c r="AP21" s="353">
        <f>IF($W21=$F$16,$P$63,0)</f>
        <v/>
      </c>
      <c r="AQ21" s="353">
        <f>IF($W21=$F$16,$P$62,0)</f>
        <v/>
      </c>
      <c r="AR21" s="396">
        <f>IF($W21&lt;$O$16,IF(W21=$F$16,$U$93,$U$94),0)</f>
        <v/>
      </c>
      <c r="AS21" s="411">
        <f>SUM(AO21:AP21,AR21)</f>
        <v/>
      </c>
      <c r="AT21" s="396">
        <f>IF(W21=$F$16,$P$30,0)</f>
        <v/>
      </c>
      <c r="AU21" s="396">
        <f>IFERROR(-PPMT($P$36,W21-$F$16,$F$17,SUM(P$31,P$51)),0)</f>
        <v/>
      </c>
      <c r="AV21" s="396">
        <f>IFERROR(-IPMT($P$36,W21-$F$16,$F$17,SUM($P$31,$P$51)),0)</f>
        <v/>
      </c>
      <c r="AW21" s="396">
        <f>IF(AND(W21&gt;$F$16,W21&lt;=SUM($F$16:$F$17)),$P$43,0)</f>
        <v/>
      </c>
      <c r="AX21" s="396">
        <f>IF($W21=1,$F$44,0)+IF(AND($W21&gt;0,$W21&lt;=$O$16),$F$45,0)</f>
        <v/>
      </c>
      <c r="AY21" s="396">
        <f>IF(AND(W21&gt;$F$16,W21&lt;=SUM($F$16:$F$17)),$P$54,0)</f>
        <v/>
      </c>
      <c r="AZ21" s="396">
        <f>IF(AND(SUM($AQ$16:AQ20)&gt;0,SUM($AZ$16:AZ20)&lt;$P$62,$W21&gt;=$P$65),$P$64,0)</f>
        <v/>
      </c>
      <c r="BA21" s="396">
        <f>IF(SUM($AQ$17:$AQ20)&gt;0,($P$62-SUM($AZ$17:$AZ20))*$F$65,0)</f>
        <v/>
      </c>
      <c r="BB21" s="411">
        <f>SUM(AT21:AY21)</f>
        <v/>
      </c>
      <c r="BC21" s="353">
        <f>AS21-BB21</f>
        <v/>
      </c>
      <c r="BD21" s="415">
        <f>BC21*$BF21</f>
        <v/>
      </c>
      <c r="BE21" s="393" t="n"/>
      <c r="BF21" s="46">
        <f>BF20/(1+$O$22)</f>
        <v/>
      </c>
      <c r="BH21" s="414">
        <f>AT21</f>
        <v/>
      </c>
      <c r="BI21" s="414">
        <f>AU21</f>
        <v/>
      </c>
      <c r="BJ21" s="353">
        <f>AV21</f>
        <v/>
      </c>
      <c r="BK21" s="353">
        <f>AW21</f>
        <v/>
      </c>
      <c r="BL21" s="353">
        <f>AY21</f>
        <v/>
      </c>
      <c r="BM21" s="353">
        <f>IF($W21&gt;$F$16,$F$56,0)</f>
        <v/>
      </c>
      <c r="BN21" s="415">
        <f>SUM(BH21:BM21)</f>
        <v/>
      </c>
      <c r="BO21" s="353">
        <f>IF($W21=$F$16,$P$32,0)</f>
        <v/>
      </c>
      <c r="BP21" s="353">
        <f>IF(AND(W21&gt;$F$16,W21&lt;=SUM($F$16:$F$17)),$P$41,0)</f>
        <v/>
      </c>
      <c r="BQ21" s="353">
        <f>IFERROR(-IPMT($P$67,W21-$F$16,$F$17,SUM(P$31,P$51)),0)</f>
        <v/>
      </c>
      <c r="BR21" s="353">
        <f>IF($W21&lt;=$O$16,$F$105,0)</f>
        <v/>
      </c>
      <c r="BS21" s="353">
        <f>IF($W21=1,SUM($O$103,$O$105),0)</f>
        <v/>
      </c>
      <c r="BT21" s="353">
        <f>IF($W21&lt;$O$16,IF(W21=$F$16,$P$94,$P$95),0)</f>
        <v/>
      </c>
      <c r="BU21" s="415">
        <f>SUM(BO21:BP21,BR21:BT21)</f>
        <v/>
      </c>
      <c r="BV21" s="415">
        <f>BN21-BU21</f>
        <v/>
      </c>
      <c r="BW21" s="337" t="n"/>
      <c r="BX21" s="338">
        <f>IFERROR(-PPMT($P$67,$W21-$F$16,$F$17,SUM(P$31,P$51)),0)</f>
        <v/>
      </c>
      <c r="BY21" s="356">
        <f>IF(BV21-BX21&gt;=0,0,1)</f>
        <v/>
      </c>
      <c r="CA21" s="0" t="n"/>
    </row>
    <row r="22" ht="15.75" customHeight="1" s="302">
      <c r="B22" s="56" t="inlineStr">
        <is>
          <t>1.4割引率</t>
        </is>
      </c>
      <c r="C22" s="19" t="n"/>
      <c r="I22" s="72" t="n"/>
      <c r="J22" s="175" t="inlineStr">
        <is>
          <t>1.4割引率</t>
        </is>
      </c>
      <c r="N22" s="19" t="inlineStr">
        <is>
          <t>％</t>
        </is>
      </c>
      <c r="O22" s="36">
        <f>SUM(F23:F24)</f>
        <v/>
      </c>
      <c r="V22" s="58">
        <f>IF(W22=1,DATE(YEAR($F$18)+(MONTH($F$18)&gt;=4),4,0),EOMONTH(V21,12))</f>
        <v/>
      </c>
      <c r="W22" s="7" t="n">
        <v>6</v>
      </c>
      <c r="X22" s="282">
        <f>IF(W22&gt;$O$16,"-",IF($W22&lt;=$F$16,"整備期間","維持管理・運営期間"))</f>
        <v/>
      </c>
      <c r="Y22" s="410">
        <f>IF($W22=$F$16,$O$61,0)</f>
        <v/>
      </c>
      <c r="Z22" s="396">
        <f>IF($W22=$F$16,$O$63,0)</f>
        <v/>
      </c>
      <c r="AA22" s="396">
        <f>IF($W22=$F$16,$O$62,0)</f>
        <v/>
      </c>
      <c r="AB22" s="396">
        <f>IF(X22="維持管理・運営期間",$F$56,0)</f>
        <v/>
      </c>
      <c r="AC22" s="411">
        <f>SUM(Y22:Z22,AB22)</f>
        <v/>
      </c>
      <c r="AD22" s="410">
        <f>IF($W22=$F$16,$O$30,0)</f>
        <v/>
      </c>
      <c r="AE22" s="396">
        <f>IF($X22="維持管理・運営期間",$O$41,0)</f>
        <v/>
      </c>
      <c r="AF22" s="396">
        <f>IF(AND($W22&gt;0,$W22&lt;=$O$16),$E$45,0)</f>
        <v/>
      </c>
      <c r="AG22" s="396">
        <f>IF(AND(SUM($AA$16:AA21)&gt;0,SUM($AG$16:AG21)&lt;$O$62,$W22&gt;=$O$65),$O$64,0)</f>
        <v/>
      </c>
      <c r="AH22" s="353">
        <f>IF(SUM($AA$17:$AA21)&gt;0,($O$62-SUM($AG$17:$AG21))*$E$65,0)</f>
        <v/>
      </c>
      <c r="AI22" s="411">
        <f>SUM(AD22:AF22)</f>
        <v/>
      </c>
      <c r="AJ22" s="353">
        <f>AC22-AI22</f>
        <v/>
      </c>
      <c r="AK22" s="405">
        <f>(SUM($P$31,$P$51)-SUM($AU$17:AU21))*$O$109</f>
        <v/>
      </c>
      <c r="AL22" s="413" t="n"/>
      <c r="AM22" s="415">
        <f>AJ22*$BF22</f>
        <v/>
      </c>
      <c r="AN22" s="349" t="n"/>
      <c r="AO22" s="414">
        <f>IF($W22=$F$16,$P$61,0)</f>
        <v/>
      </c>
      <c r="AP22" s="353">
        <f>IF($W22=$F$16,$P$63,0)</f>
        <v/>
      </c>
      <c r="AQ22" s="353">
        <f>IF($W22=$F$16,$P$62,0)</f>
        <v/>
      </c>
      <c r="AR22" s="396">
        <f>IF($W22&lt;$O$16,IF(W22=$F$16,$U$93,$U$94),0)</f>
        <v/>
      </c>
      <c r="AS22" s="411">
        <f>SUM(AO22:AP22,AR22)</f>
        <v/>
      </c>
      <c r="AT22" s="396">
        <f>IF(W22=$F$16,$P$30,0)</f>
        <v/>
      </c>
      <c r="AU22" s="396">
        <f>IFERROR(-PPMT($P$36,W22-$F$16,$F$17,SUM(P$31,P$51)),0)</f>
        <v/>
      </c>
      <c r="AV22" s="396">
        <f>IFERROR(-IPMT($P$36,W22-$F$16,$F$17,SUM($P$31,$P$51)),0)</f>
        <v/>
      </c>
      <c r="AW22" s="396">
        <f>IF(AND(W22&gt;$F$16,W22&lt;=SUM($F$16:$F$17)),$P$43,0)</f>
        <v/>
      </c>
      <c r="AX22" s="396">
        <f>IF($W22=1,$F$44,0)+IF(AND($W22&gt;0,$W22&lt;=$O$16),$F$45,0)</f>
        <v/>
      </c>
      <c r="AY22" s="396">
        <f>IF(AND(W22&gt;$F$16,W22&lt;=SUM($F$16:$F$17)),$P$54,0)</f>
        <v/>
      </c>
      <c r="AZ22" s="396">
        <f>IF(AND(SUM($AQ$16:AQ21)&gt;0,SUM($AZ$16:AZ21)&lt;$P$62,$W22&gt;=$P$65),$P$64,0)</f>
        <v/>
      </c>
      <c r="BA22" s="396">
        <f>IF(SUM($AQ$17:$AQ21)&gt;0,($P$62-SUM($AZ$17:$AZ21))*$F$65,0)</f>
        <v/>
      </c>
      <c r="BB22" s="411">
        <f>SUM(AT22:AY22)</f>
        <v/>
      </c>
      <c r="BC22" s="353">
        <f>AS22-BB22</f>
        <v/>
      </c>
      <c r="BD22" s="415">
        <f>BC22*$BF22</f>
        <v/>
      </c>
      <c r="BE22" s="393" t="n"/>
      <c r="BF22" s="46">
        <f>BF21/(1+$O$22)</f>
        <v/>
      </c>
      <c r="BH22" s="414">
        <f>AT22</f>
        <v/>
      </c>
      <c r="BI22" s="414">
        <f>AU22</f>
        <v/>
      </c>
      <c r="BJ22" s="353">
        <f>AV22</f>
        <v/>
      </c>
      <c r="BK22" s="353">
        <f>AW22</f>
        <v/>
      </c>
      <c r="BL22" s="353">
        <f>AY22</f>
        <v/>
      </c>
      <c r="BM22" s="353">
        <f>IF($W22&gt;$F$16,$F$56,0)</f>
        <v/>
      </c>
      <c r="BN22" s="415">
        <f>SUM(BH22:BM22)</f>
        <v/>
      </c>
      <c r="BO22" s="353">
        <f>IF($W22=$F$16,$P$32,0)</f>
        <v/>
      </c>
      <c r="BP22" s="353">
        <f>IF(AND(W22&gt;$F$16,W22&lt;=SUM($F$16:$F$17)),$P$41,0)</f>
        <v/>
      </c>
      <c r="BQ22" s="353">
        <f>IFERROR(-IPMT($P$67,W22-$F$16,$F$17,SUM(P$31,P$51)),0)</f>
        <v/>
      </c>
      <c r="BR22" s="353">
        <f>IF($W22&lt;=$O$16,$F$105,0)</f>
        <v/>
      </c>
      <c r="BS22" s="353">
        <f>IF($W22=1,SUM($O$103,$O$105),0)</f>
        <v/>
      </c>
      <c r="BT22" s="353">
        <f>IF($W22&lt;$O$16,IF(W22=$F$16,$P$94,$P$95),0)</f>
        <v/>
      </c>
      <c r="BU22" s="415">
        <f>SUM(BO22:BP22,BR22:BT22)</f>
        <v/>
      </c>
      <c r="BV22" s="415">
        <f>BN22-BU22</f>
        <v/>
      </c>
      <c r="BW22" s="337" t="n"/>
      <c r="BX22" s="338">
        <f>IFERROR(-PPMT($P$67,$W22-$F$16,$F$17,SUM(P$31,P$51)),0)</f>
        <v/>
      </c>
      <c r="BY22" s="356">
        <f>IF(BV22-BX22&gt;=0,0,1)</f>
        <v/>
      </c>
      <c r="CA22" s="0" t="n"/>
    </row>
    <row r="23" ht="15.75" customHeight="1" s="302">
      <c r="C23" s="0" t="inlineStr">
        <is>
          <t>リスクフリーレート</t>
        </is>
      </c>
      <c r="F23" s="15" t="n">
        <v>0.01466120014050278</v>
      </c>
      <c r="H23" s="0" t="inlineStr">
        <is>
          <t>20年国債利回り</t>
        </is>
      </c>
      <c r="J23" s="175" t="n"/>
      <c r="V23" s="58">
        <f>IF(W23=1,DATE(YEAR($F$18)+(MONTH($F$18)&gt;=4),4,0),EOMONTH(V22,12))</f>
        <v/>
      </c>
      <c r="W23" s="7" t="n">
        <v>7</v>
      </c>
      <c r="X23" s="282">
        <f>IF(W23&gt;$O$16,"-",IF($W23&lt;=$F$16,"整備期間","維持管理・運営期間"))</f>
        <v/>
      </c>
      <c r="Y23" s="410">
        <f>IF($W23=$F$16,$O$61,0)</f>
        <v/>
      </c>
      <c r="Z23" s="396">
        <f>IF($W23=$F$16,$O$63,0)</f>
        <v/>
      </c>
      <c r="AA23" s="396">
        <f>IF($W23=$F$16,$O$62,0)</f>
        <v/>
      </c>
      <c r="AB23" s="396">
        <f>IF(X23="維持管理・運営期間",$F$56,0)</f>
        <v/>
      </c>
      <c r="AC23" s="411">
        <f>SUM(Y23:Z23,AB23)</f>
        <v/>
      </c>
      <c r="AD23" s="410">
        <f>IF($W23=$F$16,$O$30,0)</f>
        <v/>
      </c>
      <c r="AE23" s="396">
        <f>IF($X23="維持管理・運営期間",$O$41,0)</f>
        <v/>
      </c>
      <c r="AF23" s="396">
        <f>IF(AND($W23&gt;0,$W23&lt;=$O$16),$E$45,0)</f>
        <v/>
      </c>
      <c r="AG23" s="396">
        <f>IF(AND(SUM($AA$16:AA22)&gt;0,SUM($AG$16:AG22)&lt;$O$62,$W23&gt;=$O$65),$O$64,0)</f>
        <v/>
      </c>
      <c r="AH23" s="353">
        <f>IF(SUM($AA$17:$AA22)&gt;0,($O$62-SUM($AG$17:$AG22))*$E$65,0)</f>
        <v/>
      </c>
      <c r="AI23" s="411">
        <f>SUM(AD23:AF23)</f>
        <v/>
      </c>
      <c r="AJ23" s="353">
        <f>AC23-AI23</f>
        <v/>
      </c>
      <c r="AK23" s="405">
        <f>(SUM($P$31,$P$51)-SUM($AU$17:AU22))*$O$109</f>
        <v/>
      </c>
      <c r="AL23" s="413" t="n"/>
      <c r="AM23" s="415">
        <f>AJ23*$BF23</f>
        <v/>
      </c>
      <c r="AN23" s="349" t="n"/>
      <c r="AO23" s="414">
        <f>IF($W23=$F$16,$P$61,0)</f>
        <v/>
      </c>
      <c r="AP23" s="353">
        <f>IF($W23=$F$16,$P$63,0)</f>
        <v/>
      </c>
      <c r="AQ23" s="353">
        <f>IF($W23=$F$16,$P$62,0)</f>
        <v/>
      </c>
      <c r="AR23" s="396">
        <f>IF($W23&lt;$O$16,IF(W23=$F$16,$U$93,$U$94),0)</f>
        <v/>
      </c>
      <c r="AS23" s="411">
        <f>SUM(AO23:AP23,AR23)</f>
        <v/>
      </c>
      <c r="AT23" s="396">
        <f>IF(W23=$F$16,$P$30,0)</f>
        <v/>
      </c>
      <c r="AU23" s="396">
        <f>IFERROR(-PPMT($P$36,W23-$F$16,$F$17,SUM(P$31,P$51)),0)</f>
        <v/>
      </c>
      <c r="AV23" s="396">
        <f>IFERROR(-IPMT($P$36,W23-$F$16,$F$17,SUM($P$31,$P$51)),0)</f>
        <v/>
      </c>
      <c r="AW23" s="396">
        <f>IF(AND(W23&gt;$F$16,W23&lt;=SUM($F$16:$F$17)),$P$43,0)</f>
        <v/>
      </c>
      <c r="AX23" s="396">
        <f>IF($W23=1,$F$44,0)+IF(AND($W23&gt;0,$W23&lt;=$O$16),$F$45,0)</f>
        <v/>
      </c>
      <c r="AY23" s="396">
        <f>IF(AND(W23&gt;$F$16,W23&lt;=SUM($F$16:$F$17)),$P$54,0)</f>
        <v/>
      </c>
      <c r="AZ23" s="396">
        <f>IF(AND(SUM($AQ$16:AQ22)&gt;0,SUM($AZ$16:AZ22)&lt;$P$62,$W23&gt;=$P$65),$P$64,0)</f>
        <v/>
      </c>
      <c r="BA23" s="396">
        <f>IF(SUM($AQ$17:$AQ22)&gt;0,($P$62-SUM($AZ$17:$AZ22))*$F$65,0)</f>
        <v/>
      </c>
      <c r="BB23" s="411">
        <f>SUM(AT23:AY23)</f>
        <v/>
      </c>
      <c r="BC23" s="353">
        <f>AS23-BB23</f>
        <v/>
      </c>
      <c r="BD23" s="415">
        <f>BC23*$BF23</f>
        <v/>
      </c>
      <c r="BE23" s="393" t="n"/>
      <c r="BF23" s="46">
        <f>BF22/(1+$O$22)</f>
        <v/>
      </c>
      <c r="BH23" s="414">
        <f>AT23</f>
        <v/>
      </c>
      <c r="BI23" s="414">
        <f>AU23</f>
        <v/>
      </c>
      <c r="BJ23" s="353">
        <f>AV23</f>
        <v/>
      </c>
      <c r="BK23" s="353">
        <f>AW23</f>
        <v/>
      </c>
      <c r="BL23" s="353">
        <f>AY23</f>
        <v/>
      </c>
      <c r="BM23" s="353">
        <f>IF($W23&gt;$F$16,$F$56,0)</f>
        <v/>
      </c>
      <c r="BN23" s="415">
        <f>SUM(BH23:BM23)</f>
        <v/>
      </c>
      <c r="BO23" s="353">
        <f>IF($W23=$F$16,$P$32,0)</f>
        <v/>
      </c>
      <c r="BP23" s="353">
        <f>IF(AND(W23&gt;$F$16,W23&lt;=SUM($F$16:$F$17)),$P$41,0)</f>
        <v/>
      </c>
      <c r="BQ23" s="353">
        <f>IFERROR(-IPMT($P$67,W23-$F$16,$F$17,SUM(P$31,P$51)),0)</f>
        <v/>
      </c>
      <c r="BR23" s="353">
        <f>IF($W23&lt;=$O$16,$F$105,0)</f>
        <v/>
      </c>
      <c r="BS23" s="353">
        <f>IF($W23=1,SUM($O$103,$O$105),0)</f>
        <v/>
      </c>
      <c r="BT23" s="353">
        <f>IF($W23&lt;$O$16,IF(W23=$F$16,$P$94,$P$95),0)</f>
        <v/>
      </c>
      <c r="BU23" s="415">
        <f>SUM(BO23:BP23,BR23:BT23)</f>
        <v/>
      </c>
      <c r="BV23" s="415">
        <f>BN23-BU23</f>
        <v/>
      </c>
      <c r="BW23" s="337" t="n"/>
      <c r="BX23" s="338">
        <f>IFERROR(-PPMT($P$67,$W23-$F$16,$F$17,SUM(P$31,P$51)),0)</f>
        <v/>
      </c>
      <c r="BY23" s="356">
        <f>IF(BV23-BX23&gt;=0,0,1)</f>
        <v/>
      </c>
      <c r="CA23" s="0" t="n"/>
    </row>
    <row r="24" ht="15.75" customHeight="1" s="302">
      <c r="C24" s="0" t="inlineStr">
        <is>
          <t>物価上昇率</t>
        </is>
      </c>
      <c r="F24" s="357">
        <f>事業費用概算!J34</f>
        <v/>
      </c>
      <c r="J24" s="175" t="n"/>
      <c r="V24" s="58">
        <f>IF(W24=1,DATE(YEAR($F$18)+(MONTH($F$18)&gt;=4),4,0),EOMONTH(V23,12))</f>
        <v/>
      </c>
      <c r="W24" s="7" t="n">
        <v>8</v>
      </c>
      <c r="X24" s="282">
        <f>IF(W24&gt;$O$16,"-",IF($W24&lt;=$F$16,"整備期間","維持管理・運営期間"))</f>
        <v/>
      </c>
      <c r="Y24" s="410">
        <f>IF($W24=$F$16,$O$61,0)</f>
        <v/>
      </c>
      <c r="Z24" s="396">
        <f>IF($W24=$F$16,$O$63,0)</f>
        <v/>
      </c>
      <c r="AA24" s="396">
        <f>IF($W24=$F$16,$O$62,0)</f>
        <v/>
      </c>
      <c r="AB24" s="396">
        <f>IF(X24="維持管理・運営期間",$F$56,0)</f>
        <v/>
      </c>
      <c r="AC24" s="411">
        <f>SUM(Y24:Z24,AB24)</f>
        <v/>
      </c>
      <c r="AD24" s="410">
        <f>IF($W24=$F$16,$O$30,0)</f>
        <v/>
      </c>
      <c r="AE24" s="396">
        <f>IF($X24="維持管理・運営期間",$O$41,0)</f>
        <v/>
      </c>
      <c r="AF24" s="396">
        <f>IF(AND($W24&gt;0,$W24&lt;=$O$16),$E$45,0)</f>
        <v/>
      </c>
      <c r="AG24" s="396">
        <f>IF(AND(SUM($AA$16:AA23)&gt;0,SUM($AG$16:AG23)&lt;$O$62,$W24&gt;=$O$65),$O$64,0)</f>
        <v/>
      </c>
      <c r="AH24" s="353">
        <f>IF(SUM($AA$17:$AA23)&gt;0,($O$62-SUM($AG$17:$AG23))*$E$65,0)</f>
        <v/>
      </c>
      <c r="AI24" s="411">
        <f>SUM(AD24:AF24)</f>
        <v/>
      </c>
      <c r="AJ24" s="353">
        <f>AC24-AI24</f>
        <v/>
      </c>
      <c r="AK24" s="405">
        <f>(SUM($P$31,$P$51)-SUM($AU$17:AU23))*$O$109</f>
        <v/>
      </c>
      <c r="AL24" s="413" t="n"/>
      <c r="AM24" s="415">
        <f>AJ24*$BF24</f>
        <v/>
      </c>
      <c r="AN24" s="349" t="n"/>
      <c r="AO24" s="414">
        <f>IF($W24=$F$16,$P$61,0)</f>
        <v/>
      </c>
      <c r="AP24" s="353">
        <f>IF($W24=$F$16,$P$63,0)</f>
        <v/>
      </c>
      <c r="AQ24" s="353">
        <f>IF($W24=$F$16,$P$62,0)</f>
        <v/>
      </c>
      <c r="AR24" s="396">
        <f>IF($W24&lt;$O$16,IF(W24=$F$16,$U$93,$U$94),0)</f>
        <v/>
      </c>
      <c r="AS24" s="411">
        <f>SUM(AO24:AP24,AR24)</f>
        <v/>
      </c>
      <c r="AT24" s="396">
        <f>IF(W24=$F$16,$P$30,0)</f>
        <v/>
      </c>
      <c r="AU24" s="396">
        <f>IFERROR(-PPMT($P$36,W24-$F$16,$F$17,SUM(P$31,P$51)),0)</f>
        <v/>
      </c>
      <c r="AV24" s="396">
        <f>IFERROR(-IPMT($P$36,W24-$F$16,$F$17,SUM($P$31,$P$51)),0)</f>
        <v/>
      </c>
      <c r="AW24" s="396">
        <f>IF(AND(W24&gt;$F$16,W24&lt;=SUM($F$16:$F$17)),$P$43,0)</f>
        <v/>
      </c>
      <c r="AX24" s="396">
        <f>IF($W24=1,$F$44,0)+IF(AND($W24&gt;0,$W24&lt;=$O$16),$F$45,0)</f>
        <v/>
      </c>
      <c r="AY24" s="396">
        <f>IF(AND(W24&gt;$F$16,W24&lt;=SUM($F$16:$F$17)),$P$54,0)</f>
        <v/>
      </c>
      <c r="AZ24" s="396">
        <f>IF(AND(SUM($AQ$16:AQ23)&gt;0,SUM($AZ$16:AZ23)&lt;$P$62,$W24&gt;=$P$65),$P$64,0)</f>
        <v/>
      </c>
      <c r="BA24" s="396">
        <f>IF(SUM($AQ$17:$AQ23)&gt;0,($P$62-SUM($AZ$17:$AZ23))*$F$65,0)</f>
        <v/>
      </c>
      <c r="BB24" s="411">
        <f>SUM(AT24:AY24)</f>
        <v/>
      </c>
      <c r="BC24" s="353">
        <f>AS24-BB24</f>
        <v/>
      </c>
      <c r="BD24" s="415">
        <f>BC24*$BF24</f>
        <v/>
      </c>
      <c r="BE24" s="393" t="n"/>
      <c r="BF24" s="46">
        <f>BF23/(1+$O$22)</f>
        <v/>
      </c>
      <c r="BH24" s="414">
        <f>AT24</f>
        <v/>
      </c>
      <c r="BI24" s="414">
        <f>AU24</f>
        <v/>
      </c>
      <c r="BJ24" s="353">
        <f>AV24</f>
        <v/>
      </c>
      <c r="BK24" s="353">
        <f>AW24</f>
        <v/>
      </c>
      <c r="BL24" s="353">
        <f>AY24</f>
        <v/>
      </c>
      <c r="BM24" s="353">
        <f>IF($W24&gt;$F$16,$F$56,0)</f>
        <v/>
      </c>
      <c r="BN24" s="415">
        <f>SUM(BH24:BM24)</f>
        <v/>
      </c>
      <c r="BO24" s="353">
        <f>IF($W24=$F$16,$P$32,0)</f>
        <v/>
      </c>
      <c r="BP24" s="353">
        <f>IF(AND(W24&gt;$F$16,W24&lt;=SUM($F$16:$F$17)),$P$41,0)</f>
        <v/>
      </c>
      <c r="BQ24" s="353">
        <f>IFERROR(-IPMT($P$67,W24-$F$16,$F$17,SUM(P$31,P$51)),0)</f>
        <v/>
      </c>
      <c r="BR24" s="353">
        <f>IF($W24&lt;=$O$16,$F$105,0)</f>
        <v/>
      </c>
      <c r="BS24" s="353">
        <f>IF($W24=1,SUM($O$103,$O$105),0)</f>
        <v/>
      </c>
      <c r="BT24" s="353">
        <f>IF($W24&lt;$O$16,IF(W24=$F$16,$P$94,$P$95),0)</f>
        <v/>
      </c>
      <c r="BU24" s="415">
        <f>SUM(BO24:BP24,BR24:BT24)</f>
        <v/>
      </c>
      <c r="BV24" s="415">
        <f>BN24-BU24</f>
        <v/>
      </c>
      <c r="BW24" s="337" t="n"/>
      <c r="BX24" s="338">
        <f>IFERROR(-PPMT($P$67,$W24-$F$16,$F$17,SUM(P$31,P$51)),0)</f>
        <v/>
      </c>
      <c r="BY24" s="356">
        <f>IF(BV24-BX24&gt;=0,0,1)</f>
        <v/>
      </c>
      <c r="CA24" s="0" t="n"/>
    </row>
    <row r="25" ht="15.75" customHeight="1" s="302">
      <c r="J25" s="175" t="n"/>
      <c r="V25" s="58">
        <f>IF(W25=1,DATE(YEAR($F$18)+(MONTH($F$18)&gt;=4),4,0),EOMONTH(V24,12))</f>
        <v/>
      </c>
      <c r="W25" s="7" t="n">
        <v>9</v>
      </c>
      <c r="X25" s="282">
        <f>IF(W25&gt;$O$16,"-",IF($W25&lt;=$F$16,"整備期間","維持管理・運営期間"))</f>
        <v/>
      </c>
      <c r="Y25" s="410">
        <f>IF($W25=$F$16,$O$61,0)</f>
        <v/>
      </c>
      <c r="Z25" s="396">
        <f>IF($W25=$F$16,$O$63,0)</f>
        <v/>
      </c>
      <c r="AA25" s="396">
        <f>IF($W25=$F$16,$O$62,0)</f>
        <v/>
      </c>
      <c r="AB25" s="396">
        <f>IF(X25="維持管理・運営期間",$F$56,0)</f>
        <v/>
      </c>
      <c r="AC25" s="411">
        <f>SUM(Y25:Z25,AB25)</f>
        <v/>
      </c>
      <c r="AD25" s="410">
        <f>IF($W25=$F$16,$O$30,0)</f>
        <v/>
      </c>
      <c r="AE25" s="396">
        <f>IF($X25="維持管理・運営期間",$O$41,0)</f>
        <v/>
      </c>
      <c r="AF25" s="396">
        <f>IF(AND($W25&gt;0,$W25&lt;=$O$16),$E$45,0)</f>
        <v/>
      </c>
      <c r="AG25" s="396">
        <f>IF(AND(SUM($AA$16:AA24)&gt;0,SUM($AG$16:AG24)&lt;$O$62,$W25&gt;=$O$65),$O$64,0)</f>
        <v/>
      </c>
      <c r="AH25" s="353">
        <f>IF(SUM($AA$17:$AA24)&gt;0,($O$62-SUM($AG$17:$AG24))*$E$65,0)</f>
        <v/>
      </c>
      <c r="AI25" s="411">
        <f>SUM(AD25:AF25)</f>
        <v/>
      </c>
      <c r="AJ25" s="353">
        <f>AC25-AI25</f>
        <v/>
      </c>
      <c r="AK25" s="405">
        <f>(SUM($P$31,$P$51)-SUM($AU$17:AU24))*$O$109</f>
        <v/>
      </c>
      <c r="AL25" s="413" t="n"/>
      <c r="AM25" s="415">
        <f>AJ25*$BF25</f>
        <v/>
      </c>
      <c r="AN25" s="349" t="n"/>
      <c r="AO25" s="414">
        <f>IF($W25=$F$16,$P$61,0)</f>
        <v/>
      </c>
      <c r="AP25" s="353">
        <f>IF($W25=$F$16,$P$63,0)</f>
        <v/>
      </c>
      <c r="AQ25" s="353">
        <f>IF($W25=$F$16,$P$62,0)</f>
        <v/>
      </c>
      <c r="AR25" s="396">
        <f>IF($W25&lt;$O$16,IF(W25=$F$16,$U$93,$U$94),0)</f>
        <v/>
      </c>
      <c r="AS25" s="411">
        <f>SUM(AO25:AP25,AR25)</f>
        <v/>
      </c>
      <c r="AT25" s="396">
        <f>IF(W25=$F$16,$P$30,0)</f>
        <v/>
      </c>
      <c r="AU25" s="396">
        <f>IFERROR(-PPMT($P$36,W25-$F$16,$F$17,SUM(P$31,P$51)),0)</f>
        <v/>
      </c>
      <c r="AV25" s="396">
        <f>IFERROR(-IPMT($P$36,W25-$F$16,$F$17,SUM($P$31,$P$51)),0)</f>
        <v/>
      </c>
      <c r="AW25" s="396">
        <f>IF(AND(W25&gt;$F$16,W25&lt;=SUM($F$16:$F$17)),$P$43,0)</f>
        <v/>
      </c>
      <c r="AX25" s="396">
        <f>IF($W25=1,$F$44,0)+IF(AND($W25&gt;0,$W25&lt;=$O$16),$F$45,0)</f>
        <v/>
      </c>
      <c r="AY25" s="396">
        <f>IF(AND(W25&gt;$F$16,W25&lt;=SUM($F$16:$F$17)),$P$54,0)</f>
        <v/>
      </c>
      <c r="AZ25" s="396">
        <f>IF(AND(SUM($AQ$16:AQ24)&gt;0,SUM($AZ$16:AZ24)&lt;$P$62,$W25&gt;=$P$65),$P$64,0)</f>
        <v/>
      </c>
      <c r="BA25" s="396">
        <f>IF(SUM($AQ$17:$AQ24)&gt;0,($P$62-SUM($AZ$17:$AZ24))*$F$65,0)</f>
        <v/>
      </c>
      <c r="BB25" s="411">
        <f>SUM(AT25:AY25)</f>
        <v/>
      </c>
      <c r="BC25" s="353">
        <f>AS25-BB25</f>
        <v/>
      </c>
      <c r="BD25" s="415">
        <f>BC25*$BF25</f>
        <v/>
      </c>
      <c r="BE25" s="393" t="n"/>
      <c r="BF25" s="46">
        <f>BF24/(1+$O$22)</f>
        <v/>
      </c>
      <c r="BH25" s="414">
        <f>AT25</f>
        <v/>
      </c>
      <c r="BI25" s="414">
        <f>AU25</f>
        <v/>
      </c>
      <c r="BJ25" s="353">
        <f>AV25</f>
        <v/>
      </c>
      <c r="BK25" s="353">
        <f>AW25</f>
        <v/>
      </c>
      <c r="BL25" s="353">
        <f>AY25</f>
        <v/>
      </c>
      <c r="BM25" s="353">
        <f>IF($W25&gt;$F$16,$F$56,0)</f>
        <v/>
      </c>
      <c r="BN25" s="415">
        <f>SUM(BH25:BM25)</f>
        <v/>
      </c>
      <c r="BO25" s="353">
        <f>IF($W25=$F$16,$P$32,0)</f>
        <v/>
      </c>
      <c r="BP25" s="353">
        <f>IF(AND(W25&gt;$F$16,W25&lt;=SUM($F$16:$F$17)),$P$41,0)</f>
        <v/>
      </c>
      <c r="BQ25" s="353">
        <f>IFERROR(-IPMT($P$67,W25-$F$16,$F$17,SUM(P$31,P$51)),0)</f>
        <v/>
      </c>
      <c r="BR25" s="353">
        <f>IF($W25&lt;=$O$16,$F$105,0)</f>
        <v/>
      </c>
      <c r="BS25" s="353">
        <f>IF($W25=1,SUM($O$103,$O$105),0)</f>
        <v/>
      </c>
      <c r="BT25" s="353">
        <f>IF($W25&lt;$O$16,IF(W25=$F$16,$P$94,$P$95),0)</f>
        <v/>
      </c>
      <c r="BU25" s="415">
        <f>SUM(BO25:BP25,BR25:BT25)</f>
        <v/>
      </c>
      <c r="BV25" s="415">
        <f>BN25-BU25</f>
        <v/>
      </c>
      <c r="BW25" s="337" t="n"/>
      <c r="BX25" s="338">
        <f>IFERROR(-PPMT($P$67,$W25-$F$16,$F$17,SUM(P$31,P$51)),0)</f>
        <v/>
      </c>
      <c r="BY25" s="356">
        <f>IF(BV25-BX25&gt;=0,0,1)</f>
        <v/>
      </c>
      <c r="CA25" s="0" t="n"/>
    </row>
    <row r="26" ht="13.5" customHeight="1" s="302">
      <c r="J26" s="175" t="n"/>
      <c r="V26" s="58">
        <f>IF(W26=1,DATE(YEAR($F$18)+(MONTH($F$18)&gt;=4),4,0),EOMONTH(V25,12))</f>
        <v/>
      </c>
      <c r="W26" s="7" t="n">
        <v>10</v>
      </c>
      <c r="X26" s="282">
        <f>IF(W26&gt;$O$16,"-",IF($W26&lt;=$F$16,"整備期間","維持管理・運営期間"))</f>
        <v/>
      </c>
      <c r="Y26" s="410">
        <f>IF($W26=$F$16,$O$61,0)</f>
        <v/>
      </c>
      <c r="Z26" s="396">
        <f>IF($W26=$F$16,$O$63,0)</f>
        <v/>
      </c>
      <c r="AA26" s="396">
        <f>IF($W26=$F$16,$O$62,0)</f>
        <v/>
      </c>
      <c r="AB26" s="396">
        <f>IF(X26="維持管理・運営期間",$F$56,0)</f>
        <v/>
      </c>
      <c r="AC26" s="411">
        <f>SUM(Y26:Z26,AB26)</f>
        <v/>
      </c>
      <c r="AD26" s="410">
        <f>IF($W26=$F$16,$O$30,0)</f>
        <v/>
      </c>
      <c r="AE26" s="396">
        <f>IF($X26="維持管理・運営期間",$O$41,0)</f>
        <v/>
      </c>
      <c r="AF26" s="396">
        <f>IF(AND($W26&gt;0,$W26&lt;=$O$16),$E$45,0)</f>
        <v/>
      </c>
      <c r="AG26" s="396">
        <f>IF(AND(SUM($AA$16:AA25)&gt;0,SUM($AG$16:AG25)&lt;$O$62,$W26&gt;=$O$65),$O$64,0)</f>
        <v/>
      </c>
      <c r="AH26" s="353">
        <f>IF(SUM($AA$17:$AA25)&gt;0,($O$62-SUM($AG$17:$AG25))*$E$65,0)</f>
        <v/>
      </c>
      <c r="AI26" s="411">
        <f>SUM(AD26:AF26)</f>
        <v/>
      </c>
      <c r="AJ26" s="353">
        <f>AC26-AI26</f>
        <v/>
      </c>
      <c r="AK26" s="405">
        <f>(SUM($P$31,$P$51)-SUM($AU$17:AU25))*$O$109</f>
        <v/>
      </c>
      <c r="AL26" s="413" t="n"/>
      <c r="AM26" s="415">
        <f>AJ26*$BF26</f>
        <v/>
      </c>
      <c r="AN26" s="349" t="n"/>
      <c r="AO26" s="414">
        <f>IF($W26=$F$16,$P$61,0)</f>
        <v/>
      </c>
      <c r="AP26" s="353">
        <f>IF($W26=$F$16,$P$63,0)</f>
        <v/>
      </c>
      <c r="AQ26" s="353">
        <f>IF($W26=$F$16,$P$62,0)</f>
        <v/>
      </c>
      <c r="AR26" s="396">
        <f>IF($W26&lt;$O$16,IF(W26=$F$16,$U$93,$U$94),0)</f>
        <v/>
      </c>
      <c r="AS26" s="411">
        <f>SUM(AO26:AP26,AR26)</f>
        <v/>
      </c>
      <c r="AT26" s="396">
        <f>IF(W26=$F$16,$P$30,0)</f>
        <v/>
      </c>
      <c r="AU26" s="396">
        <f>IFERROR(-PPMT($P$36,W26-$F$16,$F$17,SUM(P$31,P$51)),0)</f>
        <v/>
      </c>
      <c r="AV26" s="396">
        <f>IFERROR(-IPMT($P$36,W26-$F$16,$F$17,SUM($P$31,$P$51)),0)</f>
        <v/>
      </c>
      <c r="AW26" s="396">
        <f>IF(AND(W26&gt;$F$16,W26&lt;=SUM($F$16:$F$17)),$P$43,0)</f>
        <v/>
      </c>
      <c r="AX26" s="396">
        <f>IF($W26=1,$F$44,0)+IF(AND($W26&gt;0,$W26&lt;=$O$16),$F$45,0)</f>
        <v/>
      </c>
      <c r="AY26" s="396">
        <f>IF(AND(W26&gt;$F$16,W26&lt;=SUM($F$16:$F$17)),$P$54,0)</f>
        <v/>
      </c>
      <c r="AZ26" s="396">
        <f>IF(AND(SUM($AQ$16:AQ25)&gt;0,SUM($AZ$16:AZ25)&lt;$P$62,$W26&gt;=$P$65),$P$64,0)</f>
        <v/>
      </c>
      <c r="BA26" s="396">
        <f>IF(SUM($AQ$17:$AQ25)&gt;0,($P$62-SUM($AZ$17:$AZ25))*$F$65,0)</f>
        <v/>
      </c>
      <c r="BB26" s="411">
        <f>SUM(AT26:AY26)</f>
        <v/>
      </c>
      <c r="BC26" s="353">
        <f>AS26-BB26</f>
        <v/>
      </c>
      <c r="BD26" s="415">
        <f>BC26*$BF26</f>
        <v/>
      </c>
      <c r="BE26" s="393" t="n"/>
      <c r="BF26" s="46">
        <f>BF25/(1+$O$22)</f>
        <v/>
      </c>
      <c r="BH26" s="414">
        <f>AT26</f>
        <v/>
      </c>
      <c r="BI26" s="414">
        <f>AU26</f>
        <v/>
      </c>
      <c r="BJ26" s="353">
        <f>AV26</f>
        <v/>
      </c>
      <c r="BK26" s="353">
        <f>AW26</f>
        <v/>
      </c>
      <c r="BL26" s="353">
        <f>AY26</f>
        <v/>
      </c>
      <c r="BM26" s="353">
        <f>IF($W26&gt;$F$16,$F$56,0)</f>
        <v/>
      </c>
      <c r="BN26" s="415">
        <f>SUM(BH26:BM26)</f>
        <v/>
      </c>
      <c r="BO26" s="353">
        <f>IF($W26=$F$16,$P$32,0)</f>
        <v/>
      </c>
      <c r="BP26" s="353">
        <f>IF(AND(W26&gt;$F$16,W26&lt;=SUM($F$16:$F$17)),$P$41,0)</f>
        <v/>
      </c>
      <c r="BQ26" s="353">
        <f>IFERROR(-IPMT($P$67,W26-$F$16,$F$17,SUM(P$31,P$51)),0)</f>
        <v/>
      </c>
      <c r="BR26" s="353">
        <f>IF($W26&lt;=$O$16,$F$105,0)</f>
        <v/>
      </c>
      <c r="BS26" s="353">
        <f>IF($W26=1,SUM($O$103,$O$105),0)</f>
        <v/>
      </c>
      <c r="BT26" s="353">
        <f>IF($W26&lt;$O$16,IF(W26=$F$16,$P$94,$P$95),0)</f>
        <v/>
      </c>
      <c r="BU26" s="415">
        <f>SUM(BO26:BP26,BR26:BT26)</f>
        <v/>
      </c>
      <c r="BV26" s="415">
        <f>BN26-BU26</f>
        <v/>
      </c>
      <c r="BW26" s="337" t="n"/>
      <c r="BX26" s="338">
        <f>IFERROR(-PPMT($P$67,$W26-$F$16,$F$17,SUM(P$31,P$51)),0)</f>
        <v/>
      </c>
      <c r="BY26" s="356">
        <f>IF(BV26-BX26&gt;=0,0,1)</f>
        <v/>
      </c>
      <c r="CA26" s="0" t="n"/>
    </row>
    <row r="27" ht="15.75" customHeight="1" s="302">
      <c r="A27" s="4" t="inlineStr">
        <is>
          <t>2．事業にかかる費用</t>
        </is>
      </c>
      <c r="H27" s="72" t="n"/>
      <c r="I27" s="72" t="n"/>
      <c r="J27" s="4" t="inlineStr">
        <is>
          <t>２．事業にかかる費用</t>
        </is>
      </c>
      <c r="V27" s="58">
        <f>IF(W27=1,DATE(YEAR($F$18)+(MONTH($F$18)&gt;=4),4,0),EOMONTH(V26,12))</f>
        <v/>
      </c>
      <c r="W27" s="7" t="n">
        <v>11</v>
      </c>
      <c r="X27" s="282">
        <f>IF(W27&gt;$O$16,"-",IF($W27&lt;=$F$16,"整備期間","維持管理・運営期間"))</f>
        <v/>
      </c>
      <c r="Y27" s="410">
        <f>IF($W27=$F$16,$O$61,0)</f>
        <v/>
      </c>
      <c r="Z27" s="396">
        <f>IF($W27=$F$16,$O$63,0)</f>
        <v/>
      </c>
      <c r="AA27" s="396">
        <f>IF($W27=$F$16,$O$62,0)</f>
        <v/>
      </c>
      <c r="AB27" s="396">
        <f>IF(X27="維持管理・運営期間",$F$56,0)</f>
        <v/>
      </c>
      <c r="AC27" s="411">
        <f>SUM(Y27:Z27,AB27)</f>
        <v/>
      </c>
      <c r="AD27" s="410">
        <f>IF($W27=$F$16,$O$30,0)</f>
        <v/>
      </c>
      <c r="AE27" s="396">
        <f>IF($X27="維持管理・運営期間",$O$41,0)</f>
        <v/>
      </c>
      <c r="AF27" s="396">
        <f>IF(AND($W27&gt;0,$W27&lt;=$O$16),$E$45,0)</f>
        <v/>
      </c>
      <c r="AG27" s="396">
        <f>IF(AND(SUM($AA$16:AA26)&gt;0,SUM($AG$16:AG26)&lt;$O$62,$W27&gt;=$O$65),$O$64,0)</f>
        <v/>
      </c>
      <c r="AH27" s="353">
        <f>IF(SUM($AA$17:$AA26)&gt;0,($O$62-SUM($AG$17:$AG26))*$E$65,0)</f>
        <v/>
      </c>
      <c r="AI27" s="411">
        <f>SUM(AD27:AF27)</f>
        <v/>
      </c>
      <c r="AJ27" s="353">
        <f>AC27-AI27</f>
        <v/>
      </c>
      <c r="AK27" s="405">
        <f>(SUM($P$31,$P$51)-SUM($AU$17:AU26))*$O$109</f>
        <v/>
      </c>
      <c r="AL27" s="413" t="n"/>
      <c r="AM27" s="415">
        <f>AJ27*$BF27</f>
        <v/>
      </c>
      <c r="AN27" s="349" t="n"/>
      <c r="AO27" s="414">
        <f>IF($W27=$F$16,$P$61,0)</f>
        <v/>
      </c>
      <c r="AP27" s="353">
        <f>IF($W27=$F$16,$P$63,0)</f>
        <v/>
      </c>
      <c r="AQ27" s="353">
        <f>IF($W27=$F$16,$P$62,0)</f>
        <v/>
      </c>
      <c r="AR27" s="396">
        <f>IF($W27&lt;$O$16,IF(W27=$F$16,$U$93,$U$94),0)</f>
        <v/>
      </c>
      <c r="AS27" s="411">
        <f>SUM(AO27:AP27,AR27)</f>
        <v/>
      </c>
      <c r="AT27" s="396">
        <f>IF(W27=$F$16,$P$30,0)</f>
        <v/>
      </c>
      <c r="AU27" s="396">
        <f>IFERROR(-PPMT($P$36,W27-$F$16,$F$17,SUM(P$31,P$51)),0)</f>
        <v/>
      </c>
      <c r="AV27" s="396">
        <f>IFERROR(-IPMT($P$36,W27-$F$16,$F$17,SUM($P$31,$P$51)),0)</f>
        <v/>
      </c>
      <c r="AW27" s="396">
        <f>IF(AND(W27&gt;$F$16,W27&lt;=SUM($F$16:$F$17)),$P$43,0)</f>
        <v/>
      </c>
      <c r="AX27" s="396">
        <f>IF($W27=1,$F$44,0)+IF(AND($W27&gt;0,$W27&lt;=$O$16),$F$45,0)</f>
        <v/>
      </c>
      <c r="AY27" s="396">
        <f>IF(AND(W27&gt;$F$16,W27&lt;=SUM($F$16:$F$17)),$P$54,0)</f>
        <v/>
      </c>
      <c r="AZ27" s="396">
        <f>IF(AND(SUM($AQ$16:AQ26)&gt;0,SUM($AZ$16:AZ26)&lt;$P$62,$W27&gt;=$P$65),$P$64,0)</f>
        <v/>
      </c>
      <c r="BA27" s="396">
        <f>IF(SUM($AQ$17:$AQ26)&gt;0,($P$62-SUM($AZ$17:$AZ26))*$F$65,0)</f>
        <v/>
      </c>
      <c r="BB27" s="411">
        <f>SUM(AT27:AY27)</f>
        <v/>
      </c>
      <c r="BC27" s="353">
        <f>AS27-BB27</f>
        <v/>
      </c>
      <c r="BD27" s="415">
        <f>BC27*$BF27</f>
        <v/>
      </c>
      <c r="BE27" s="393" t="n"/>
      <c r="BF27" s="46">
        <f>BF26/(1+$O$22)</f>
        <v/>
      </c>
      <c r="BH27" s="414">
        <f>AT27</f>
        <v/>
      </c>
      <c r="BI27" s="414">
        <f>AU27</f>
        <v/>
      </c>
      <c r="BJ27" s="353">
        <f>AV27</f>
        <v/>
      </c>
      <c r="BK27" s="353">
        <f>AW27</f>
        <v/>
      </c>
      <c r="BL27" s="353">
        <f>AY27</f>
        <v/>
      </c>
      <c r="BM27" s="353">
        <f>IF($W27&gt;$F$16,$F$56,0)</f>
        <v/>
      </c>
      <c r="BN27" s="415">
        <f>SUM(BH27:BM27)</f>
        <v/>
      </c>
      <c r="BO27" s="353">
        <f>IF($W27=$F$16,$P$32,0)</f>
        <v/>
      </c>
      <c r="BP27" s="353">
        <f>IF(AND(W27&gt;$F$16,W27&lt;=SUM($F$16:$F$17)),$P$41,0)</f>
        <v/>
      </c>
      <c r="BQ27" s="353">
        <f>IFERROR(-IPMT($P$67,W27-$F$16,$F$17,SUM(P$31,P$51)),0)</f>
        <v/>
      </c>
      <c r="BR27" s="353">
        <f>IF($W27&lt;=$O$16,$F$105,0)</f>
        <v/>
      </c>
      <c r="BS27" s="353">
        <f>IF($W27=1,SUM($O$103,$O$105),0)</f>
        <v/>
      </c>
      <c r="BT27" s="353">
        <f>IF($W27&lt;$O$16,IF(W27=$F$16,$P$94,$P$95),0)</f>
        <v/>
      </c>
      <c r="BU27" s="415">
        <f>SUM(BO27:BP27,BR27:BT27)</f>
        <v/>
      </c>
      <c r="BV27" s="415">
        <f>BN27-BU27</f>
        <v/>
      </c>
      <c r="BW27" s="337" t="n"/>
      <c r="BX27" s="338">
        <f>IFERROR(-PPMT($P$67,$W27-$F$16,$F$17,SUM(P$31,P$51)),0)</f>
        <v/>
      </c>
      <c r="BY27" s="356">
        <f>IF(BV27-BX27&gt;=0,0,1)</f>
        <v/>
      </c>
      <c r="CA27" s="0" t="n"/>
    </row>
    <row r="28" ht="15.75" customHeight="1" s="302">
      <c r="B28" s="0" t="inlineStr">
        <is>
          <t>2.1施設整備費用</t>
        </is>
      </c>
      <c r="D28" s="0" t="inlineStr">
        <is>
          <t>百万円</t>
        </is>
      </c>
      <c r="F28" s="394">
        <f>SUM(F29:F30)</f>
        <v/>
      </c>
      <c r="J28" s="4" t="inlineStr">
        <is>
          <t>2.1 施設整備費用</t>
        </is>
      </c>
      <c r="O28" s="0" t="inlineStr">
        <is>
          <t>PSC</t>
        </is>
      </c>
      <c r="P28" s="0" t="inlineStr">
        <is>
          <t>PFI-LCC</t>
        </is>
      </c>
      <c r="V28" s="58">
        <f>IF(W28=1,DATE(YEAR($F$18)+(MONTH($F$18)&gt;=4),4,0),EOMONTH(V27,12))</f>
        <v/>
      </c>
      <c r="W28" s="7" t="n">
        <v>12</v>
      </c>
      <c r="X28" s="282">
        <f>IF(W28&gt;$O$16,"-",IF($W28&lt;=$F$16,"整備期間","維持管理・運営期間"))</f>
        <v/>
      </c>
      <c r="Y28" s="410">
        <f>IF($W28=$F$16,$O$61,0)</f>
        <v/>
      </c>
      <c r="Z28" s="396">
        <f>IF($W28=$F$16,$O$63,0)</f>
        <v/>
      </c>
      <c r="AA28" s="396">
        <f>IF($W28=$F$16,$O$62,0)</f>
        <v/>
      </c>
      <c r="AB28" s="396">
        <f>IF(X28="維持管理・運営期間",$F$56,0)</f>
        <v/>
      </c>
      <c r="AC28" s="411">
        <f>SUM(Y28:Z28,AB28)</f>
        <v/>
      </c>
      <c r="AD28" s="410">
        <f>IF($W28=$F$16,$O$30,0)</f>
        <v/>
      </c>
      <c r="AE28" s="396">
        <f>IF($X28="維持管理・運営期間",$O$41,0)</f>
        <v/>
      </c>
      <c r="AF28" s="396">
        <f>IF(AND($W28&gt;0,$W28&lt;=$O$16),$E$45,0)</f>
        <v/>
      </c>
      <c r="AG28" s="396">
        <f>IF(AND(SUM($AA$16:AA27)&gt;0,SUM($AG$16:AG27)&lt;$O$62,$W28&gt;=$O$65),$O$64,0)</f>
        <v/>
      </c>
      <c r="AH28" s="353">
        <f>IF(SUM($AA$17:$AA27)&gt;0,($O$62-SUM($AG$17:$AG27))*$E$65,0)</f>
        <v/>
      </c>
      <c r="AI28" s="411">
        <f>SUM(AD28:AF28)</f>
        <v/>
      </c>
      <c r="AJ28" s="353">
        <f>AC28-AI28</f>
        <v/>
      </c>
      <c r="AK28" s="405">
        <f>(SUM($P$31,$P$51)-SUM($AU$17:AU27))*$O$109</f>
        <v/>
      </c>
      <c r="AL28" s="413" t="n"/>
      <c r="AM28" s="415">
        <f>AJ28*$BF28</f>
        <v/>
      </c>
      <c r="AN28" s="349" t="n"/>
      <c r="AO28" s="414">
        <f>IF($W28=$F$16,$P$61,0)</f>
        <v/>
      </c>
      <c r="AP28" s="353">
        <f>IF($W28=$F$16,$P$63,0)</f>
        <v/>
      </c>
      <c r="AQ28" s="353">
        <f>IF($W28=$F$16,$P$62,0)</f>
        <v/>
      </c>
      <c r="AR28" s="396">
        <f>IF($W28&lt;$O$16,IF(W28=$F$16,$U$93,$U$94),0)</f>
        <v/>
      </c>
      <c r="AS28" s="411">
        <f>SUM(AO28:AP28,AR28)</f>
        <v/>
      </c>
      <c r="AT28" s="396">
        <f>IF(W28=$F$16,$P$30,0)</f>
        <v/>
      </c>
      <c r="AU28" s="396">
        <f>IFERROR(-PPMT($P$36,W28-$F$16,$F$17,SUM(P$31,P$51)),0)</f>
        <v/>
      </c>
      <c r="AV28" s="396">
        <f>IFERROR(-IPMT($P$36,W28-$F$16,$F$17,SUM($P$31,$P$51)),0)</f>
        <v/>
      </c>
      <c r="AW28" s="396">
        <f>IF(AND(W28&gt;$F$16,W28&lt;=SUM($F$16:$F$17)),$P$43,0)</f>
        <v/>
      </c>
      <c r="AX28" s="396">
        <f>IF($W28=1,$F$44,0)+IF(AND($W28&gt;0,$W28&lt;=$O$16),$F$45,0)</f>
        <v/>
      </c>
      <c r="AY28" s="396">
        <f>IF(AND(W28&gt;$F$16,W28&lt;=SUM($F$16:$F$17)),$P$54,0)</f>
        <v/>
      </c>
      <c r="AZ28" s="396">
        <f>IF(AND(SUM($AQ$16:AQ27)&gt;0,SUM($AZ$16:AZ27)&lt;$P$62,$W28&gt;=$P$65),$P$64,0)</f>
        <v/>
      </c>
      <c r="BA28" s="396">
        <f>IF(SUM($AQ$17:$AQ27)&gt;0,($P$62-SUM($AZ$17:$AZ27))*$F$65,0)</f>
        <v/>
      </c>
      <c r="BB28" s="411">
        <f>SUM(AT28:AY28)</f>
        <v/>
      </c>
      <c r="BC28" s="353">
        <f>AS28-BB28</f>
        <v/>
      </c>
      <c r="BD28" s="415">
        <f>BC28*$BF28</f>
        <v/>
      </c>
      <c r="BE28" s="393" t="n"/>
      <c r="BF28" s="46">
        <f>BF27/(1+$O$22)</f>
        <v/>
      </c>
      <c r="BH28" s="414">
        <f>AT28</f>
        <v/>
      </c>
      <c r="BI28" s="414">
        <f>AU28</f>
        <v/>
      </c>
      <c r="BJ28" s="353">
        <f>AV28</f>
        <v/>
      </c>
      <c r="BK28" s="353">
        <f>AW28</f>
        <v/>
      </c>
      <c r="BL28" s="353">
        <f>AY28</f>
        <v/>
      </c>
      <c r="BM28" s="353">
        <f>IF($W28&gt;$F$16,$F$56,0)</f>
        <v/>
      </c>
      <c r="BN28" s="415">
        <f>SUM(BH28:BM28)</f>
        <v/>
      </c>
      <c r="BO28" s="353">
        <f>IF($W28=$F$16,$P$32,0)</f>
        <v/>
      </c>
      <c r="BP28" s="353">
        <f>IF(AND(W28&gt;$F$16,W28&lt;=SUM($F$16:$F$17)),$P$41,0)</f>
        <v/>
      </c>
      <c r="BQ28" s="353">
        <f>IFERROR(-IPMT($P$67,W28-$F$16,$F$17,SUM(P$31,P$51)),0)</f>
        <v/>
      </c>
      <c r="BR28" s="353">
        <f>IF($W28&lt;=$O$16,$F$105,0)</f>
        <v/>
      </c>
      <c r="BS28" s="353">
        <f>IF($W28=1,SUM($O$103,$O$105),0)</f>
        <v/>
      </c>
      <c r="BT28" s="353">
        <f>IF($W28&lt;$O$16,IF(W28=$F$16,$P$94,$P$95),0)</f>
        <v/>
      </c>
      <c r="BU28" s="415">
        <f>SUM(BO28:BP28,BR28:BT28)</f>
        <v/>
      </c>
      <c r="BV28" s="415">
        <f>BN28-BU28</f>
        <v/>
      </c>
      <c r="BW28" s="337" t="n"/>
      <c r="BX28" s="338">
        <f>IFERROR(-PPMT($P$67,$W28-$F$16,$F$17,SUM(P$31,P$51)),0)</f>
        <v/>
      </c>
      <c r="BY28" s="356">
        <f>IF(BV28-BX28&gt;=0,0,1)</f>
        <v/>
      </c>
      <c r="CA28" s="0" t="n"/>
    </row>
    <row r="29" ht="15.75" customHeight="1" s="302">
      <c r="C29" s="2" t="inlineStr">
        <is>
          <t>うち、過去の落札価格を反映</t>
        </is>
      </c>
      <c r="D29" s="0" t="inlineStr">
        <is>
          <t>百万円</t>
        </is>
      </c>
      <c r="F29" s="416">
        <f>事業費用概算!G6</f>
        <v/>
      </c>
      <c r="K29" s="0" t="inlineStr">
        <is>
          <t>施設整備費用</t>
        </is>
      </c>
      <c r="N29" s="19" t="inlineStr">
        <is>
          <t>百万円</t>
        </is>
      </c>
      <c r="O29" s="358">
        <f>F30*$F$50+F29</f>
        <v/>
      </c>
      <c r="P29" s="358">
        <f>F28*(1-F51)</f>
        <v/>
      </c>
      <c r="Q29" s="0" t="inlineStr">
        <is>
          <t>PSCは競争の効果反映、LCCは削減率を反映</t>
        </is>
      </c>
      <c r="V29" s="58">
        <f>IF(W29=1,DATE(YEAR($F$18)+(MONTH($F$18)&gt;=4),4,0),EOMONTH(V28,12))</f>
        <v/>
      </c>
      <c r="W29" s="7" t="n">
        <v>13</v>
      </c>
      <c r="X29" s="282">
        <f>IF(W29&gt;$O$16,"-",IF($W29&lt;=$F$16,"整備期間","維持管理・運営期間"))</f>
        <v/>
      </c>
      <c r="Y29" s="410">
        <f>IF($W29=$F$16,$O$61,0)</f>
        <v/>
      </c>
      <c r="Z29" s="396">
        <f>IF($W29=$F$16,$O$63,0)</f>
        <v/>
      </c>
      <c r="AA29" s="396">
        <f>IF($W29=$F$16,$O$62,0)</f>
        <v/>
      </c>
      <c r="AB29" s="396">
        <f>IF(X29="維持管理・運営期間",$F$56,0)</f>
        <v/>
      </c>
      <c r="AC29" s="411">
        <f>SUM(Y29:Z29,AB29)</f>
        <v/>
      </c>
      <c r="AD29" s="410">
        <f>IF($W29=$F$16,$O$30,0)</f>
        <v/>
      </c>
      <c r="AE29" s="396">
        <f>IF($X29="維持管理・運営期間",$O$41,0)</f>
        <v/>
      </c>
      <c r="AF29" s="396">
        <f>IF(AND($W29&gt;0,$W29&lt;=$O$16),$E$45,0)</f>
        <v/>
      </c>
      <c r="AG29" s="396">
        <f>IF(AND(SUM($AA$16:AA28)&gt;0,SUM($AG$16:AG28)&lt;$O$62,$W29&gt;=$O$65),$O$64,0)</f>
        <v/>
      </c>
      <c r="AH29" s="353">
        <f>IF(SUM($AA$17:$AA28)&gt;0,($O$62-SUM($AG$17:$AG28))*$E$65,0)</f>
        <v/>
      </c>
      <c r="AI29" s="411">
        <f>SUM(AD29:AF29)</f>
        <v/>
      </c>
      <c r="AJ29" s="353">
        <f>AC29-AI29</f>
        <v/>
      </c>
      <c r="AK29" s="405">
        <f>(SUM($P$31,$P$51)-SUM($AU$17:AU28))*$O$109</f>
        <v/>
      </c>
      <c r="AL29" s="413" t="n"/>
      <c r="AM29" s="415">
        <f>AJ29*$BF29</f>
        <v/>
      </c>
      <c r="AN29" s="349" t="n"/>
      <c r="AO29" s="414">
        <f>IF($W29=$F$16,$P$61,0)</f>
        <v/>
      </c>
      <c r="AP29" s="353">
        <f>IF($W29=$F$16,$P$63,0)</f>
        <v/>
      </c>
      <c r="AQ29" s="353">
        <f>IF($W29=$F$16,$P$62,0)</f>
        <v/>
      </c>
      <c r="AR29" s="396">
        <f>IF($W29&lt;$O$16,IF(W29=$F$16,$U$93,$U$94),0)</f>
        <v/>
      </c>
      <c r="AS29" s="411">
        <f>SUM(AO29:AP29,AR29)</f>
        <v/>
      </c>
      <c r="AT29" s="396">
        <f>IF(W29=$F$16,$P$30,0)</f>
        <v/>
      </c>
      <c r="AU29" s="396">
        <f>IFERROR(-PPMT($P$36,W29-$F$16,$F$17,SUM(P$31,P$51)),0)</f>
        <v/>
      </c>
      <c r="AV29" s="396">
        <f>IFERROR(-IPMT($P$36,W29-$F$16,$F$17,SUM($P$31,$P$51)),0)</f>
        <v/>
      </c>
      <c r="AW29" s="396">
        <f>IF(AND(W29&gt;$F$16,W29&lt;=SUM($F$16:$F$17)),$P$43,0)</f>
        <v/>
      </c>
      <c r="AX29" s="396">
        <f>IF($W29=1,$F$44,0)+IF(AND($W29&gt;0,$W29&lt;=$O$16),$F$45,0)</f>
        <v/>
      </c>
      <c r="AY29" s="396">
        <f>IF(AND(W29&gt;$F$16,W29&lt;=SUM($F$16:$F$17)),$P$54,0)</f>
        <v/>
      </c>
      <c r="AZ29" s="396">
        <f>IF(AND(SUM($AQ$16:AQ28)&gt;0,SUM($AZ$16:AZ28)&lt;$P$62,$W29&gt;=$P$65),$P$64,0)</f>
        <v/>
      </c>
      <c r="BA29" s="396">
        <f>IF(SUM($AQ$17:$AQ28)&gt;0,($P$62-SUM($AZ$17:$AZ28))*$F$65,0)</f>
        <v/>
      </c>
      <c r="BB29" s="411">
        <f>SUM(AT29:AY29)</f>
        <v/>
      </c>
      <c r="BC29" s="353">
        <f>AS29-BB29</f>
        <v/>
      </c>
      <c r="BD29" s="415">
        <f>BC29*$BF29</f>
        <v/>
      </c>
      <c r="BE29" s="393" t="n"/>
      <c r="BF29" s="46">
        <f>BF28/(1+$O$22)</f>
        <v/>
      </c>
      <c r="BH29" s="414">
        <f>AT29</f>
        <v/>
      </c>
      <c r="BI29" s="414">
        <f>AU29</f>
        <v/>
      </c>
      <c r="BJ29" s="353">
        <f>AV29</f>
        <v/>
      </c>
      <c r="BK29" s="353">
        <f>AW29</f>
        <v/>
      </c>
      <c r="BL29" s="353">
        <f>AY29</f>
        <v/>
      </c>
      <c r="BM29" s="353">
        <f>IF($W29&gt;$F$16,$F$56,0)</f>
        <v/>
      </c>
      <c r="BN29" s="415">
        <f>SUM(BH29:BM29)</f>
        <v/>
      </c>
      <c r="BO29" s="353">
        <f>IF($W29=$F$16,$P$32,0)</f>
        <v/>
      </c>
      <c r="BP29" s="353">
        <f>IF(AND(W29&gt;$F$16,W29&lt;=SUM($F$16:$F$17)),$P$41,0)</f>
        <v/>
      </c>
      <c r="BQ29" s="353">
        <f>IFERROR(-IPMT($P$67,W29-$F$16,$F$17,SUM(P$31,P$51)),0)</f>
        <v/>
      </c>
      <c r="BR29" s="353">
        <f>IF($W29&lt;=$O$16,$F$105,0)</f>
        <v/>
      </c>
      <c r="BS29" s="353">
        <f>IF($W29=1,SUM($O$103,$O$105),0)</f>
        <v/>
      </c>
      <c r="BT29" s="353">
        <f>IF($W29&lt;$O$16,IF(W29=$F$16,$P$94,$P$95),0)</f>
        <v/>
      </c>
      <c r="BU29" s="415">
        <f>SUM(BO29:BP29,BR29:BT29)</f>
        <v/>
      </c>
      <c r="BV29" s="415">
        <f>BN29-BU29</f>
        <v/>
      </c>
      <c r="BW29" s="337" t="n"/>
      <c r="BX29" s="338">
        <f>IFERROR(-PPMT($P$67,$W29-$F$16,$F$17,SUM(P$31,P$51)),0)</f>
        <v/>
      </c>
      <c r="BY29" s="356">
        <f>IF(BV29-BX29&gt;=0,0,1)</f>
        <v/>
      </c>
      <c r="CA29" s="0" t="n"/>
    </row>
    <row r="30" ht="15.75" customHeight="1" s="302">
      <c r="C30" s="2" t="inlineStr">
        <is>
          <t>うち、PSCの予定価格を反映</t>
        </is>
      </c>
      <c r="D30" s="0" t="inlineStr">
        <is>
          <t>百万円</t>
        </is>
      </c>
      <c r="F30" s="416">
        <f>事業費用概算!G7</f>
        <v/>
      </c>
      <c r="M30" s="56" t="inlineStr">
        <is>
          <t>完工時、一括払</t>
        </is>
      </c>
      <c r="N30" s="19" t="inlineStr">
        <is>
          <t>百万円</t>
        </is>
      </c>
      <c r="O30" s="360">
        <f>O29*E32</f>
        <v/>
      </c>
      <c r="P30" s="360">
        <f>$P$29*F32</f>
        <v/>
      </c>
      <c r="V30" s="58">
        <f>IF(W30=1,DATE(YEAR($F$18)+(MONTH($F$18)&gt;=4),4,0),EOMONTH(V29,12))</f>
        <v/>
      </c>
      <c r="W30" s="7" t="n">
        <v>14</v>
      </c>
      <c r="X30" s="282">
        <f>IF(W30&gt;$O$16,"-",IF($W30&lt;=$F$16,"整備期間","維持管理・運営期間"))</f>
        <v/>
      </c>
      <c r="Y30" s="410">
        <f>IF($W30=$F$16,$O$61,0)</f>
        <v/>
      </c>
      <c r="Z30" s="396">
        <f>IF($W30=$F$16,$O$63,0)</f>
        <v/>
      </c>
      <c r="AA30" s="396">
        <f>IF($W30=$F$16,$O$62,0)</f>
        <v/>
      </c>
      <c r="AB30" s="396">
        <f>IF(X30="維持管理・運営期間",$F$56,0)</f>
        <v/>
      </c>
      <c r="AC30" s="411">
        <f>SUM(Y30:Z30,AB30)</f>
        <v/>
      </c>
      <c r="AD30" s="410">
        <f>IF($W30=$F$16,$O$30,0)</f>
        <v/>
      </c>
      <c r="AE30" s="396">
        <f>IF($X30="維持管理・運営期間",$O$41,0)</f>
        <v/>
      </c>
      <c r="AF30" s="396">
        <f>IF(AND($W30&gt;0,$W30&lt;=$O$16),$E$45,0)</f>
        <v/>
      </c>
      <c r="AG30" s="396">
        <f>IF(AND(SUM($AA$16:AA29)&gt;0,SUM($AG$16:AG29)&lt;$O$62,$W30&gt;=$O$65),$O$64,0)</f>
        <v/>
      </c>
      <c r="AH30" s="353">
        <f>IF(SUM($AA$17:$AA29)&gt;0,($O$62-SUM($AG$17:$AG29))*$E$65,0)</f>
        <v/>
      </c>
      <c r="AI30" s="411">
        <f>SUM(AD30:AF30)</f>
        <v/>
      </c>
      <c r="AJ30" s="353">
        <f>AC30-AI30</f>
        <v/>
      </c>
      <c r="AK30" s="405">
        <f>(SUM($P$31,$P$51)-SUM($AU$17:AU29))*$O$109</f>
        <v/>
      </c>
      <c r="AL30" s="413" t="n"/>
      <c r="AM30" s="415">
        <f>AJ30*$BF30</f>
        <v/>
      </c>
      <c r="AN30" s="349" t="n"/>
      <c r="AO30" s="414">
        <f>IF($W30=$F$16,$P$61,0)</f>
        <v/>
      </c>
      <c r="AP30" s="353">
        <f>IF($W30=$F$16,$P$63,0)</f>
        <v/>
      </c>
      <c r="AQ30" s="353">
        <f>IF($W30=$F$16,$P$62,0)</f>
        <v/>
      </c>
      <c r="AR30" s="396">
        <f>IF($W30&lt;$O$16,IF(W30=$F$16,$U$93,$U$94),0)</f>
        <v/>
      </c>
      <c r="AS30" s="411">
        <f>SUM(AO30:AP30,AR30)</f>
        <v/>
      </c>
      <c r="AT30" s="396">
        <f>IF(W30=$F$16,$P$30,0)</f>
        <v/>
      </c>
      <c r="AU30" s="396">
        <f>IFERROR(-PPMT($P$36,W30-$F$16,$F$17,SUM(P$31,P$51)),0)</f>
        <v/>
      </c>
      <c r="AV30" s="396">
        <f>IFERROR(-IPMT($P$36,W30-$F$16,$F$17,SUM($P$31,$P$51)),0)</f>
        <v/>
      </c>
      <c r="AW30" s="396">
        <f>IF(AND(W30&gt;$F$16,W30&lt;=SUM($F$16:$F$17)),$P$43,0)</f>
        <v/>
      </c>
      <c r="AX30" s="396">
        <f>IF($W30=1,$F$44,0)+IF(AND($W30&gt;0,$W30&lt;=$O$16),$F$45,0)</f>
        <v/>
      </c>
      <c r="AY30" s="396">
        <f>IF(AND(W30&gt;$F$16,W30&lt;=SUM($F$16:$F$17)),$P$54,0)</f>
        <v/>
      </c>
      <c r="AZ30" s="396">
        <f>IF(AND(SUM($AQ$16:AQ29)&gt;0,SUM($AZ$16:AZ29)&lt;$P$62,$W30&gt;=$P$65),$P$64,0)</f>
        <v/>
      </c>
      <c r="BA30" s="396">
        <f>IF(SUM($AQ$17:$AQ29)&gt;0,($P$62-SUM($AZ$17:$AZ29))*$F$65,0)</f>
        <v/>
      </c>
      <c r="BB30" s="411">
        <f>SUM(AT30:AY30)</f>
        <v/>
      </c>
      <c r="BC30" s="353">
        <f>AS30-BB30</f>
        <v/>
      </c>
      <c r="BD30" s="415">
        <f>BC30*$BF30</f>
        <v/>
      </c>
      <c r="BE30" s="393" t="n"/>
      <c r="BF30" s="46">
        <f>BF29/(1+$O$22)</f>
        <v/>
      </c>
      <c r="BH30" s="414">
        <f>AT30</f>
        <v/>
      </c>
      <c r="BI30" s="414">
        <f>AU30</f>
        <v/>
      </c>
      <c r="BJ30" s="353">
        <f>AV30</f>
        <v/>
      </c>
      <c r="BK30" s="353">
        <f>AW30</f>
        <v/>
      </c>
      <c r="BL30" s="353">
        <f>AY30</f>
        <v/>
      </c>
      <c r="BM30" s="353">
        <f>IF($W30&gt;$F$16,$F$56,0)</f>
        <v/>
      </c>
      <c r="BN30" s="415">
        <f>SUM(BH30:BM30)</f>
        <v/>
      </c>
      <c r="BO30" s="353">
        <f>IF($W30=$F$16,$P$32,0)</f>
        <v/>
      </c>
      <c r="BP30" s="353">
        <f>IF(AND(W30&gt;$F$16,W30&lt;=SUM($F$16:$F$17)),$P$41,0)</f>
        <v/>
      </c>
      <c r="BQ30" s="353">
        <f>IFERROR(-IPMT($P$67,W30-$F$16,$F$17,SUM(P$31,P$51)),0)</f>
        <v/>
      </c>
      <c r="BR30" s="353">
        <f>IF($W30&lt;=$O$16,$F$105,0)</f>
        <v/>
      </c>
      <c r="BS30" s="353">
        <f>IF($W30=1,SUM($O$103,$O$105),0)</f>
        <v/>
      </c>
      <c r="BT30" s="353">
        <f>IF($W30&lt;$O$16,IF(W30=$F$16,$P$94,$P$95),0)</f>
        <v/>
      </c>
      <c r="BU30" s="415">
        <f>SUM(BO30:BP30,BR30:BT30)</f>
        <v/>
      </c>
      <c r="BV30" s="415">
        <f>BN30-BU30</f>
        <v/>
      </c>
      <c r="BW30" s="337" t="n"/>
      <c r="BX30" s="338">
        <f>IFERROR(-PPMT($P$67,$W30-$F$16,$F$17,SUM(P$31,P$51)),0)</f>
        <v/>
      </c>
      <c r="BY30" s="356">
        <f>IF(BV30-BX30&gt;=0,0,1)</f>
        <v/>
      </c>
      <c r="CA30" s="0" t="n"/>
    </row>
    <row r="31" ht="15.75" customHeight="1" s="302">
      <c r="C31" s="0" t="inlineStr">
        <is>
          <t>施設整備費用の支払内訳</t>
        </is>
      </c>
      <c r="E31" s="19" t="inlineStr">
        <is>
          <t>PSC</t>
        </is>
      </c>
      <c r="F31" s="19" t="inlineStr">
        <is>
          <t>PFI-LCC</t>
        </is>
      </c>
      <c r="M31" s="56" t="inlineStr">
        <is>
          <t>完工後、割賦払</t>
        </is>
      </c>
      <c r="N31" s="19" t="inlineStr">
        <is>
          <t>百万円</t>
        </is>
      </c>
      <c r="O31" s="360">
        <f>O30*E33</f>
        <v/>
      </c>
      <c r="P31" s="360">
        <f>$P$29*F33</f>
        <v/>
      </c>
      <c r="V31" s="58">
        <f>IF(W31=1,DATE(YEAR($F$18)+(MONTH($F$18)&gt;=4),4,0),EOMONTH(V30,12))</f>
        <v/>
      </c>
      <c r="W31" s="7" t="n">
        <v>15</v>
      </c>
      <c r="X31" s="282">
        <f>IF(W31&gt;$O$16,"-",IF($W31&lt;=$F$16,"整備期間","維持管理・運営期間"))</f>
        <v/>
      </c>
      <c r="Y31" s="410">
        <f>IF($W31=$F$16,$O$61,0)</f>
        <v/>
      </c>
      <c r="Z31" s="396">
        <f>IF($W31=$F$16,$O$63,0)</f>
        <v/>
      </c>
      <c r="AA31" s="396">
        <f>IF($W31=$F$16,$O$62,0)</f>
        <v/>
      </c>
      <c r="AB31" s="396">
        <f>IF(X31="維持管理・運営期間",$F$56,0)</f>
        <v/>
      </c>
      <c r="AC31" s="411">
        <f>SUM(Y31:Z31,AB31)</f>
        <v/>
      </c>
      <c r="AD31" s="410">
        <f>IF($W31=$F$16,$O$30,0)</f>
        <v/>
      </c>
      <c r="AE31" s="396">
        <f>IF($X31="維持管理・運営期間",$O$41,0)</f>
        <v/>
      </c>
      <c r="AF31" s="396">
        <f>IF(AND($W31&gt;0,$W31&lt;=$O$16),$E$45,0)</f>
        <v/>
      </c>
      <c r="AG31" s="396">
        <f>IF(AND(SUM($AA$16:AA30)&gt;0,SUM($AG$16:AG30)&lt;$O$62,$W31&gt;=$O$65),$O$64,0)</f>
        <v/>
      </c>
      <c r="AH31" s="353">
        <f>IF(SUM($AA$17:$AA30)&gt;0,($O$62-SUM($AG$17:$AG30))*$E$65,0)</f>
        <v/>
      </c>
      <c r="AI31" s="411">
        <f>SUM(AD31:AF31)</f>
        <v/>
      </c>
      <c r="AJ31" s="353">
        <f>AC31-AI31</f>
        <v/>
      </c>
      <c r="AK31" s="405">
        <f>(SUM($P$31,$P$51)-SUM($AU$17:AU30))*$O$109</f>
        <v/>
      </c>
      <c r="AL31" s="413" t="n"/>
      <c r="AM31" s="415">
        <f>AJ31*$BF31</f>
        <v/>
      </c>
      <c r="AN31" s="349" t="n"/>
      <c r="AO31" s="414">
        <f>IF($W31=$F$16,$P$61,0)</f>
        <v/>
      </c>
      <c r="AP31" s="353">
        <f>IF($W31=$F$16,$P$63,0)</f>
        <v/>
      </c>
      <c r="AQ31" s="353">
        <f>IF($W31=$F$16,$P$62,0)</f>
        <v/>
      </c>
      <c r="AR31" s="396">
        <f>IF($W31&lt;$O$16,IF(W31=$F$16,$U$93,$U$94),0)</f>
        <v/>
      </c>
      <c r="AS31" s="411">
        <f>SUM(AO31:AP31,AR31)</f>
        <v/>
      </c>
      <c r="AT31" s="396">
        <f>IF(W31=$F$16,$P$30,0)</f>
        <v/>
      </c>
      <c r="AU31" s="396">
        <f>IFERROR(-PPMT($P$36,W31-$F$16,$F$17,SUM(P$31,P$51)),0)</f>
        <v/>
      </c>
      <c r="AV31" s="396">
        <f>IFERROR(-IPMT($P$36,W31-$F$16,$F$17,SUM($P$31,$P$51)),0)</f>
        <v/>
      </c>
      <c r="AW31" s="396">
        <f>IF(AND(W31&gt;$F$16,W31&lt;=SUM($F$16:$F$17)),$P$43,0)</f>
        <v/>
      </c>
      <c r="AX31" s="396">
        <f>IF($W31=1,$F$44,0)+IF(AND($W31&gt;0,$W31&lt;=$O$16),$F$45,0)</f>
        <v/>
      </c>
      <c r="AY31" s="396">
        <f>IF(AND(W31&gt;$F$16,W31&lt;=SUM($F$16:$F$17)),$P$54,0)</f>
        <v/>
      </c>
      <c r="AZ31" s="396">
        <f>IF(AND(SUM($AQ$16:AQ30)&gt;0,SUM($AZ$16:AZ30)&lt;$P$62,$W31&gt;=$P$65),$P$64,0)</f>
        <v/>
      </c>
      <c r="BA31" s="396">
        <f>IF(SUM($AQ$17:$AQ30)&gt;0,($P$62-SUM($AZ$17:$AZ30))*$F$65,0)</f>
        <v/>
      </c>
      <c r="BB31" s="411">
        <f>SUM(AT31:AY31)</f>
        <v/>
      </c>
      <c r="BC31" s="353">
        <f>AS31-BB31</f>
        <v/>
      </c>
      <c r="BD31" s="415">
        <f>BC31*$BF31</f>
        <v/>
      </c>
      <c r="BE31" s="393" t="n"/>
      <c r="BF31" s="46">
        <f>BF30/(1+$O$22)</f>
        <v/>
      </c>
      <c r="BH31" s="414">
        <f>AT31</f>
        <v/>
      </c>
      <c r="BI31" s="414">
        <f>AU31</f>
        <v/>
      </c>
      <c r="BJ31" s="353">
        <f>AV31</f>
        <v/>
      </c>
      <c r="BK31" s="353">
        <f>AW31</f>
        <v/>
      </c>
      <c r="BL31" s="353">
        <f>AY31</f>
        <v/>
      </c>
      <c r="BM31" s="353">
        <f>IF($W31&gt;$F$16,$F$56,0)</f>
        <v/>
      </c>
      <c r="BN31" s="415">
        <f>SUM(BH31:BM31)</f>
        <v/>
      </c>
      <c r="BO31" s="353">
        <f>IF($W31=$F$16,$P$32,0)</f>
        <v/>
      </c>
      <c r="BP31" s="353">
        <f>IF(AND(W31&gt;$F$16,W31&lt;=SUM($F$16:$F$17)),$P$41,0)</f>
        <v/>
      </c>
      <c r="BQ31" s="353">
        <f>IFERROR(-IPMT($P$67,W31-$F$16,$F$17,SUM(P$31,P$51)),0)</f>
        <v/>
      </c>
      <c r="BR31" s="353">
        <f>IF($W31&lt;=$O$16,$F$105,0)</f>
        <v/>
      </c>
      <c r="BS31" s="353">
        <f>IF($W31=1,SUM($O$103,$O$105),0)</f>
        <v/>
      </c>
      <c r="BT31" s="353">
        <f>IF($W31&lt;$O$16,IF(W31=$F$16,$P$94,$P$95),0)</f>
        <v/>
      </c>
      <c r="BU31" s="415">
        <f>SUM(BO31:BP31,BR31:BT31)</f>
        <v/>
      </c>
      <c r="BV31" s="415">
        <f>BN31-BU31</f>
        <v/>
      </c>
      <c r="BW31" s="337" t="n"/>
      <c r="BX31" s="338">
        <f>IFERROR(-PPMT($P$67,$W31-$F$16,$F$17,SUM(P$31,P$51)),0)</f>
        <v/>
      </c>
      <c r="BY31" s="356">
        <f>IF(BV31-BX31&gt;=0,0,1)</f>
        <v/>
      </c>
      <c r="CA31" s="0" t="n"/>
    </row>
    <row r="32" ht="15.75" customHeight="1" s="302">
      <c r="C32" s="2" t="inlineStr">
        <is>
          <t>完工時、一括払</t>
        </is>
      </c>
      <c r="D32" s="0" t="inlineStr">
        <is>
          <t>％</t>
        </is>
      </c>
      <c r="E32" s="268" t="n">
        <v>1</v>
      </c>
      <c r="F32" s="3" t="n">
        <v>0.5</v>
      </c>
      <c r="M32" s="56" t="inlineStr">
        <is>
          <t>施設整備費用合計</t>
        </is>
      </c>
      <c r="N32" s="19" t="inlineStr">
        <is>
          <t>百万円</t>
        </is>
      </c>
      <c r="O32" s="360">
        <f>SUM(O30:O31)</f>
        <v/>
      </c>
      <c r="P32" s="360">
        <f>SUM(P30:P31)</f>
        <v/>
      </c>
      <c r="V32" s="58">
        <f>IF(W32=1,DATE(YEAR($F$18)+(MONTH($F$18)&gt;=4),4,0),EOMONTH(V31,12))</f>
        <v/>
      </c>
      <c r="W32" s="7" t="n">
        <v>16</v>
      </c>
      <c r="X32" s="282">
        <f>IF(W32&gt;$O$16,"-",IF($W32&lt;=$F$16,"整備期間","維持管理・運営期間"))</f>
        <v/>
      </c>
      <c r="Y32" s="410">
        <f>IF($W32=$F$16,$O$61,0)</f>
        <v/>
      </c>
      <c r="Z32" s="396">
        <f>IF($W32=$F$16,$O$63,0)</f>
        <v/>
      </c>
      <c r="AA32" s="396">
        <f>IF($W32=$F$16,$O$62,0)</f>
        <v/>
      </c>
      <c r="AB32" s="396">
        <f>IF(X32="維持管理・運営期間",$F$56,0)</f>
        <v/>
      </c>
      <c r="AC32" s="411">
        <f>SUM(Y32:Z32,AB32)</f>
        <v/>
      </c>
      <c r="AD32" s="410">
        <f>IF($W32=$F$16,$O$30,0)</f>
        <v/>
      </c>
      <c r="AE32" s="396">
        <f>IF($X32="維持管理・運営期間",$O$41,0)</f>
        <v/>
      </c>
      <c r="AF32" s="396">
        <f>IF(AND($W32&gt;0,$W32&lt;=$O$16),$E$45,0)</f>
        <v/>
      </c>
      <c r="AG32" s="396">
        <f>IF(AND(SUM($AA$16:AA31)&gt;0,SUM($AG$16:AG31)&lt;$O$62,$W32&gt;=$O$65),$O$64,0)</f>
        <v/>
      </c>
      <c r="AH32" s="353">
        <f>IF(SUM($AA$17:$AA31)&gt;0,($O$62-SUM($AG$17:$AG31))*$E$65,0)</f>
        <v/>
      </c>
      <c r="AI32" s="411">
        <f>SUM(AD32:AF32)</f>
        <v/>
      </c>
      <c r="AJ32" s="353">
        <f>AC32-AI32</f>
        <v/>
      </c>
      <c r="AK32" s="405">
        <f>(SUM($P$31,$P$51)-SUM($AU$17:AU31))*$O$109</f>
        <v/>
      </c>
      <c r="AL32" s="413" t="n"/>
      <c r="AM32" s="415">
        <f>AJ32*$BF32</f>
        <v/>
      </c>
      <c r="AN32" s="349" t="n"/>
      <c r="AO32" s="414">
        <f>IF($W32=$F$16,$P$61,0)</f>
        <v/>
      </c>
      <c r="AP32" s="353">
        <f>IF($W32=$F$16,$P$63,0)</f>
        <v/>
      </c>
      <c r="AQ32" s="353">
        <f>IF($W32=$F$16,$P$62,0)</f>
        <v/>
      </c>
      <c r="AR32" s="396">
        <f>IF($W32&lt;$O$16,IF(W32=$F$16,$U$93,$U$94),0)</f>
        <v/>
      </c>
      <c r="AS32" s="411">
        <f>SUM(AO32:AP32,AR32)</f>
        <v/>
      </c>
      <c r="AT32" s="396">
        <f>IF(W32=$F$16,$P$30,0)</f>
        <v/>
      </c>
      <c r="AU32" s="396">
        <f>IFERROR(-PPMT($P$36,W32-$F$16,$F$17,SUM(P$31,P$51)),0)</f>
        <v/>
      </c>
      <c r="AV32" s="396">
        <f>IFERROR(-IPMT($P$36,W32-$F$16,$F$17,SUM($P$31,$P$51)),0)</f>
        <v/>
      </c>
      <c r="AW32" s="396">
        <f>IF(AND(W32&gt;$F$16,W32&lt;=SUM($F$16:$F$17)),$P$43,0)</f>
        <v/>
      </c>
      <c r="AX32" s="396">
        <f>IF($W32=1,$F$44,0)+IF(AND($W32&gt;0,$W32&lt;=$O$16),$F$45,0)</f>
        <v/>
      </c>
      <c r="AY32" s="396">
        <f>IF(AND(W32&gt;$F$16,W32&lt;=SUM($F$16:$F$17)),$P$54,0)</f>
        <v/>
      </c>
      <c r="AZ32" s="396">
        <f>IF(AND(SUM($AQ$16:AQ31)&gt;0,SUM($AZ$16:AZ31)&lt;$P$62,$W32&gt;=$P$65),$P$64,0)</f>
        <v/>
      </c>
      <c r="BA32" s="396">
        <f>IF(SUM($AQ$17:$AQ31)&gt;0,($P$62-SUM($AZ$17:$AZ31))*$F$65,0)</f>
        <v/>
      </c>
      <c r="BB32" s="411">
        <f>SUM(AT32:AY32)</f>
        <v/>
      </c>
      <c r="BC32" s="353">
        <f>AS32-BB32</f>
        <v/>
      </c>
      <c r="BD32" s="415">
        <f>BC32*$BF32</f>
        <v/>
      </c>
      <c r="BE32" s="393" t="n"/>
      <c r="BF32" s="46">
        <f>BF31/(1+$O$22)</f>
        <v/>
      </c>
      <c r="BH32" s="414">
        <f>AT32</f>
        <v/>
      </c>
      <c r="BI32" s="414">
        <f>AU32</f>
        <v/>
      </c>
      <c r="BJ32" s="353">
        <f>AV32</f>
        <v/>
      </c>
      <c r="BK32" s="353">
        <f>AW32</f>
        <v/>
      </c>
      <c r="BL32" s="353">
        <f>AY32</f>
        <v/>
      </c>
      <c r="BM32" s="353">
        <f>IF($W32&gt;$F$16,$F$56,0)</f>
        <v/>
      </c>
      <c r="BN32" s="415">
        <f>SUM(BH32:BM32)</f>
        <v/>
      </c>
      <c r="BO32" s="353">
        <f>IF($W32=$F$16,$P$32,0)</f>
        <v/>
      </c>
      <c r="BP32" s="353">
        <f>IF(AND(W32&gt;$F$16,W32&lt;=SUM($F$16:$F$17)),$P$41,0)</f>
        <v/>
      </c>
      <c r="BQ32" s="353">
        <f>IFERROR(-IPMT($P$67,W32-$F$16,$F$17,SUM(P$31,P$51)),0)</f>
        <v/>
      </c>
      <c r="BR32" s="353">
        <f>IF($W32&lt;=$O$16,$F$105,0)</f>
        <v/>
      </c>
      <c r="BS32" s="353">
        <f>IF($W32=1,SUM($O$103,$O$105),0)</f>
        <v/>
      </c>
      <c r="BT32" s="353">
        <f>IF($W32&lt;$O$16,IF(W32=$F$16,$P$94,$P$95),0)</f>
        <v/>
      </c>
      <c r="BU32" s="415">
        <f>SUM(BO32:BP32,BR32:BT32)</f>
        <v/>
      </c>
      <c r="BV32" s="415">
        <f>BN32-BU32</f>
        <v/>
      </c>
      <c r="BW32" s="337" t="n"/>
      <c r="BX32" s="338">
        <f>IFERROR(-PPMT($P$67,$W32-$F$16,$F$17,SUM(P$31,P$51)),0)</f>
        <v/>
      </c>
      <c r="BY32" s="356">
        <f>IF(BV32-BX32&gt;=0,0,1)</f>
        <v/>
      </c>
      <c r="CA32" s="0" t="n"/>
    </row>
    <row r="33" ht="15.75" customHeight="1" s="302">
      <c r="C33" s="2" t="inlineStr">
        <is>
          <t>完工後、割賦払</t>
        </is>
      </c>
      <c r="D33" s="0" t="inlineStr">
        <is>
          <t>％</t>
        </is>
      </c>
      <c r="E33" s="139" t="n"/>
      <c r="F33" s="3" t="n">
        <v>0.5</v>
      </c>
      <c r="V33" s="58">
        <f>IF(W33=1,DATE(YEAR($F$18)+(MONTH($F$18)&gt;=4),4,0),EOMONTH(V32,12))</f>
        <v/>
      </c>
      <c r="W33" s="7" t="n">
        <v>17</v>
      </c>
      <c r="X33" s="282">
        <f>IF(W33&gt;$O$16,"-",IF($W33&lt;=$F$16,"整備期間","維持管理・運営期間"))</f>
        <v/>
      </c>
      <c r="Y33" s="410">
        <f>IF($W33=$F$16,$O$61,0)</f>
        <v/>
      </c>
      <c r="Z33" s="396">
        <f>IF($W33=$F$16,$O$63,0)</f>
        <v/>
      </c>
      <c r="AA33" s="396">
        <f>IF($W33=$F$16,$O$62,0)</f>
        <v/>
      </c>
      <c r="AB33" s="396">
        <f>IF(X33="維持管理・運営期間",$F$56,0)</f>
        <v/>
      </c>
      <c r="AC33" s="411">
        <f>SUM(Y33:Z33,AB33)</f>
        <v/>
      </c>
      <c r="AD33" s="410">
        <f>IF($W33=$F$16,$O$30,0)</f>
        <v/>
      </c>
      <c r="AE33" s="396">
        <f>IF($X33="維持管理・運営期間",$O$41,0)</f>
        <v/>
      </c>
      <c r="AF33" s="396">
        <f>IF(AND($W33&gt;0,$W33&lt;=$O$16),$E$45,0)</f>
        <v/>
      </c>
      <c r="AG33" s="396">
        <f>IF(AND(SUM($AA$16:AA32)&gt;0,SUM($AG$16:AG32)&lt;$O$62,$W33&gt;=$O$65),$O$64,0)</f>
        <v/>
      </c>
      <c r="AH33" s="353">
        <f>IF(SUM($AA$17:$AA32)&gt;0,($O$62-SUM($AG$17:$AG32))*$E$65,0)</f>
        <v/>
      </c>
      <c r="AI33" s="411">
        <f>SUM(AD33:AF33)</f>
        <v/>
      </c>
      <c r="AJ33" s="353">
        <f>AC33-AI33</f>
        <v/>
      </c>
      <c r="AK33" s="405">
        <f>(SUM($P$31,$P$51)-SUM($AU$17:AU32))*$O$109</f>
        <v/>
      </c>
      <c r="AL33" s="413" t="n"/>
      <c r="AM33" s="415">
        <f>AJ33*$BF33</f>
        <v/>
      </c>
      <c r="AN33" s="349" t="n"/>
      <c r="AO33" s="414">
        <f>IF($W33=$F$16,$P$61,0)</f>
        <v/>
      </c>
      <c r="AP33" s="353">
        <f>IF($W33=$F$16,$P$63,0)</f>
        <v/>
      </c>
      <c r="AQ33" s="353">
        <f>IF($W33=$F$16,$P$62,0)</f>
        <v/>
      </c>
      <c r="AR33" s="396">
        <f>IF($W33&lt;$O$16,IF(W33=$F$16,$U$93,$U$94),0)</f>
        <v/>
      </c>
      <c r="AS33" s="411">
        <f>SUM(AO33:AP33,AR33)</f>
        <v/>
      </c>
      <c r="AT33" s="396">
        <f>IF(W33=$F$16,$P$30,0)</f>
        <v/>
      </c>
      <c r="AU33" s="396">
        <f>IFERROR(-PPMT($P$36,W33-$F$16,$F$17,SUM(P$31,P$51)),0)</f>
        <v/>
      </c>
      <c r="AV33" s="396">
        <f>IFERROR(-IPMT($P$36,W33-$F$16,$F$17,SUM($P$31,$P$51)),0)</f>
        <v/>
      </c>
      <c r="AW33" s="396">
        <f>IF(AND(W33&gt;$F$16,W33&lt;=SUM($F$16:$F$17)),$P$43,0)</f>
        <v/>
      </c>
      <c r="AX33" s="396">
        <f>IF($W33=1,$F$44,0)+IF(AND($W33&gt;0,$W33&lt;=$O$16),$F$45,0)</f>
        <v/>
      </c>
      <c r="AY33" s="396">
        <f>IF(AND(W33&gt;$F$16,W33&lt;=SUM($F$16:$F$17)),$P$54,0)</f>
        <v/>
      </c>
      <c r="AZ33" s="396">
        <f>IF(AND(SUM($AQ$16:AQ32)&gt;0,SUM($AZ$16:AZ32)&lt;$P$62,$W33&gt;=$P$65),$P$64,0)</f>
        <v/>
      </c>
      <c r="BA33" s="396">
        <f>IF(SUM($AQ$17:$AQ32)&gt;0,($P$62-SUM($AZ$17:$AZ32))*$F$65,0)</f>
        <v/>
      </c>
      <c r="BB33" s="411">
        <f>SUM(AT33:AY33)</f>
        <v/>
      </c>
      <c r="BC33" s="353">
        <f>AS33-BB33</f>
        <v/>
      </c>
      <c r="BD33" s="415">
        <f>BC33*$BF33</f>
        <v/>
      </c>
      <c r="BE33" s="393" t="n"/>
      <c r="BF33" s="46">
        <f>BF32/(1+$O$22)</f>
        <v/>
      </c>
      <c r="BH33" s="414">
        <f>AT33</f>
        <v/>
      </c>
      <c r="BI33" s="414">
        <f>AU33</f>
        <v/>
      </c>
      <c r="BJ33" s="353">
        <f>AV33</f>
        <v/>
      </c>
      <c r="BK33" s="353">
        <f>AW33</f>
        <v/>
      </c>
      <c r="BL33" s="353">
        <f>AY33</f>
        <v/>
      </c>
      <c r="BM33" s="353">
        <f>IF($W33&gt;$F$16,$F$56,0)</f>
        <v/>
      </c>
      <c r="BN33" s="415">
        <f>SUM(BH33:BM33)</f>
        <v/>
      </c>
      <c r="BO33" s="353">
        <f>IF($W33=$F$16,$P$32,0)</f>
        <v/>
      </c>
      <c r="BP33" s="353">
        <f>IF(AND(W33&gt;$F$16,W33&lt;=SUM($F$16:$F$17)),$P$41,0)</f>
        <v/>
      </c>
      <c r="BQ33" s="353">
        <f>IFERROR(-IPMT($P$67,W33-$F$16,$F$17,SUM(P$31,P$51)),0)</f>
        <v/>
      </c>
      <c r="BR33" s="353">
        <f>IF($W33&lt;=$O$16,$F$105,0)</f>
        <v/>
      </c>
      <c r="BS33" s="353">
        <f>IF($W33=1,SUM($O$103,$O$105),0)</f>
        <v/>
      </c>
      <c r="BT33" s="353">
        <f>IF($W33&lt;$O$16,IF(W33=$F$16,$P$94,$P$95),0)</f>
        <v/>
      </c>
      <c r="BU33" s="415">
        <f>SUM(BO33:BP33,BR33:BT33)</f>
        <v/>
      </c>
      <c r="BV33" s="415">
        <f>BN33-BU33</f>
        <v/>
      </c>
      <c r="BW33" s="337" t="n"/>
      <c r="BX33" s="338">
        <f>IFERROR(-PPMT($P$67,$W33-$F$16,$F$17,SUM(P$31,P$51)),0)</f>
        <v/>
      </c>
      <c r="BY33" s="356">
        <f>IF(BV33-BX33&gt;=0,0,1)</f>
        <v/>
      </c>
      <c r="CA33" s="0" t="n"/>
    </row>
    <row r="34" ht="15.75" customHeight="1" s="302">
      <c r="E34" s="13">
        <f>SUM(E32:E33)</f>
        <v/>
      </c>
      <c r="F34" s="13">
        <f>SUM(F32:F33)</f>
        <v/>
      </c>
      <c r="V34" s="58">
        <f>IF(W34=1,DATE(YEAR($F$18)+(MONTH($F$18)&gt;=4),4,0),EOMONTH(V33,12))</f>
        <v/>
      </c>
      <c r="W34" s="7" t="n">
        <v>18</v>
      </c>
      <c r="X34" s="282">
        <f>IF(W34&gt;$O$16,"-",IF($W34&lt;=$F$16,"整備期間","維持管理・運営期間"))</f>
        <v/>
      </c>
      <c r="Y34" s="410">
        <f>IF($W34=$F$16,$O$61,0)</f>
        <v/>
      </c>
      <c r="Z34" s="396">
        <f>IF($W34=$F$16,$O$63,0)</f>
        <v/>
      </c>
      <c r="AA34" s="396">
        <f>IF($W34=$F$16,$O$62,0)</f>
        <v/>
      </c>
      <c r="AB34" s="396">
        <f>IF(X34="維持管理・運営期間",$F$56,0)</f>
        <v/>
      </c>
      <c r="AC34" s="411">
        <f>SUM(Y34:Z34,AB34)</f>
        <v/>
      </c>
      <c r="AD34" s="410">
        <f>IF($W34=$F$16,$O$30,0)</f>
        <v/>
      </c>
      <c r="AE34" s="396">
        <f>IF($X34="維持管理・運営期間",$O$41,0)</f>
        <v/>
      </c>
      <c r="AF34" s="396">
        <f>IF(AND($W34&gt;0,$W34&lt;=$O$16),$E$45,0)</f>
        <v/>
      </c>
      <c r="AG34" s="396">
        <f>IF(AND(SUM($AA$16:AA33)&gt;0,SUM($AG$16:AG33)&lt;$O$62,$W34&gt;=$O$65),$O$64,0)</f>
        <v/>
      </c>
      <c r="AH34" s="353">
        <f>IF(SUM($AA$17:$AA33)&gt;0,($O$62-SUM($AG$17:$AG33))*$E$65,0)</f>
        <v/>
      </c>
      <c r="AI34" s="411">
        <f>SUM(AD34:AF34)</f>
        <v/>
      </c>
      <c r="AJ34" s="353">
        <f>AC34-AI34</f>
        <v/>
      </c>
      <c r="AK34" s="405">
        <f>(SUM($P$31,$P$51)-SUM($AU$17:AU33))*$O$109</f>
        <v/>
      </c>
      <c r="AL34" s="413" t="n"/>
      <c r="AM34" s="415">
        <f>AJ34*$BF34</f>
        <v/>
      </c>
      <c r="AN34" s="349" t="n"/>
      <c r="AO34" s="414">
        <f>IF($W34=$F$16,$P$61,0)</f>
        <v/>
      </c>
      <c r="AP34" s="353">
        <f>IF($W34=$F$16,$P$63,0)</f>
        <v/>
      </c>
      <c r="AQ34" s="353">
        <f>IF($W34=$F$16,$P$62,0)</f>
        <v/>
      </c>
      <c r="AR34" s="396">
        <f>IF($W34&lt;$O$16,IF(W34=$F$16,$U$93,$U$94),0)</f>
        <v/>
      </c>
      <c r="AS34" s="411">
        <f>SUM(AO34:AP34,AR34)</f>
        <v/>
      </c>
      <c r="AT34" s="396">
        <f>IF(W34=$F$16,$P$30,0)</f>
        <v/>
      </c>
      <c r="AU34" s="396">
        <f>IFERROR(-PPMT($P$36,W34-$F$16,$F$17,SUM(P$31,P$51)),0)</f>
        <v/>
      </c>
      <c r="AV34" s="396">
        <f>IFERROR(-IPMT($P$36,W34-$F$16,$F$17,SUM($P$31,$P$51)),0)</f>
        <v/>
      </c>
      <c r="AW34" s="396">
        <f>IF(AND(W34&gt;$F$16,W34&lt;=SUM($F$16:$F$17)),$P$43,0)</f>
        <v/>
      </c>
      <c r="AX34" s="396">
        <f>IF($W34=1,$F$44,0)+IF(AND($W34&gt;0,$W34&lt;=$O$16),$F$45,0)</f>
        <v/>
      </c>
      <c r="AY34" s="396">
        <f>IF(AND(W34&gt;$F$16,W34&lt;=SUM($F$16:$F$17)),$P$54,0)</f>
        <v/>
      </c>
      <c r="AZ34" s="396">
        <f>IF(AND(SUM($AQ$16:AQ33)&gt;0,SUM($AZ$16:AZ33)&lt;$P$62,$W34&gt;=$P$65),$P$64,0)</f>
        <v/>
      </c>
      <c r="BA34" s="396">
        <f>IF(SUM($AQ$17:$AQ33)&gt;0,($P$62-SUM($AZ$17:$AZ33))*$F$65,0)</f>
        <v/>
      </c>
      <c r="BB34" s="411">
        <f>SUM(AT34:AY34)</f>
        <v/>
      </c>
      <c r="BC34" s="353">
        <f>AS34-BB34</f>
        <v/>
      </c>
      <c r="BD34" s="415">
        <f>BC34*$BF34</f>
        <v/>
      </c>
      <c r="BE34" s="393" t="n"/>
      <c r="BF34" s="46">
        <f>BF33/(1+$O$22)</f>
        <v/>
      </c>
      <c r="BH34" s="414">
        <f>AT34</f>
        <v/>
      </c>
      <c r="BI34" s="414">
        <f>AU34</f>
        <v/>
      </c>
      <c r="BJ34" s="353">
        <f>AV34</f>
        <v/>
      </c>
      <c r="BK34" s="353">
        <f>AW34</f>
        <v/>
      </c>
      <c r="BL34" s="353">
        <f>AY34</f>
        <v/>
      </c>
      <c r="BM34" s="353">
        <f>IF($W34&gt;$F$16,$F$56,0)</f>
        <v/>
      </c>
      <c r="BN34" s="415">
        <f>SUM(BH34:BM34)</f>
        <v/>
      </c>
      <c r="BO34" s="353">
        <f>IF($W34=$F$16,$P$32,0)</f>
        <v/>
      </c>
      <c r="BP34" s="353">
        <f>IF(AND(W34&gt;$F$16,W34&lt;=SUM($F$16:$F$17)),$P$41,0)</f>
        <v/>
      </c>
      <c r="BQ34" s="353">
        <f>IFERROR(-IPMT($P$67,W34-$F$16,$F$17,SUM(P$31,P$51)),0)</f>
        <v/>
      </c>
      <c r="BR34" s="353">
        <f>IF($W34&lt;=$O$16,$F$105,0)</f>
        <v/>
      </c>
      <c r="BS34" s="353">
        <f>IF($W34=1,SUM($O$103,$O$105),0)</f>
        <v/>
      </c>
      <c r="BT34" s="353">
        <f>IF($W34&lt;$O$16,IF(W34=$F$16,$P$94,$P$95),0)</f>
        <v/>
      </c>
      <c r="BU34" s="415">
        <f>SUM(BO34:BP34,BR34:BT34)</f>
        <v/>
      </c>
      <c r="BV34" s="415">
        <f>BN34-BU34</f>
        <v/>
      </c>
      <c r="BW34" s="337" t="n"/>
      <c r="BX34" s="338">
        <f>IFERROR(-PPMT($P$67,$W34-$F$16,$F$17,SUM(P$31,P$51)),0)</f>
        <v/>
      </c>
      <c r="BY34" s="356">
        <f>IF(BV34-BX34&gt;=0,0,1)</f>
        <v/>
      </c>
      <c r="CA34" s="0" t="n"/>
    </row>
    <row r="35" ht="15.75" customHeight="1" s="302">
      <c r="B35" s="56" t="inlineStr">
        <is>
          <t>2.2割賦金利（％）</t>
        </is>
      </c>
      <c r="C35" s="2" t="inlineStr">
        <is>
          <t>基準金利</t>
        </is>
      </c>
      <c r="D35" s="0" t="inlineStr">
        <is>
          <t>％</t>
        </is>
      </c>
      <c r="F35" s="15" t="n">
        <v>0.01466120014050278</v>
      </c>
      <c r="J35" s="102" t="inlineStr">
        <is>
          <t>2.2 サービス購入費（完工後支払）割賦金利（％）</t>
        </is>
      </c>
      <c r="O35" s="0" t="inlineStr">
        <is>
          <t>PSC</t>
        </is>
      </c>
      <c r="P35" s="0" t="inlineStr">
        <is>
          <t>PFI-LCC</t>
        </is>
      </c>
      <c r="V35" s="58">
        <f>IF(W35=1,DATE(YEAR($F$18)+(MONTH($F$18)&gt;=4),4,0),EOMONTH(V34,12))</f>
        <v/>
      </c>
      <c r="W35" s="7" t="n">
        <v>19</v>
      </c>
      <c r="X35" s="282">
        <f>IF(W35&gt;$O$16,"-",IF($W35&lt;=$F$16,"整備期間","維持管理・運営期間"))</f>
        <v/>
      </c>
      <c r="Y35" s="410">
        <f>IF($W35=$F$16,$O$61,0)</f>
        <v/>
      </c>
      <c r="Z35" s="396">
        <f>IF($W35=$F$16,$O$63,0)</f>
        <v/>
      </c>
      <c r="AA35" s="396">
        <f>IF($W35=$F$16,$O$62,0)</f>
        <v/>
      </c>
      <c r="AB35" s="396">
        <f>IF(X35="維持管理・運営期間",$F$56,0)</f>
        <v/>
      </c>
      <c r="AC35" s="411">
        <f>SUM(Y35:Z35,AB35)</f>
        <v/>
      </c>
      <c r="AD35" s="410">
        <f>IF($W35=$F$16,$O$30,0)</f>
        <v/>
      </c>
      <c r="AE35" s="396">
        <f>IF($X35="維持管理・運営期間",$O$41,0)</f>
        <v/>
      </c>
      <c r="AF35" s="396">
        <f>IF(AND($W35&gt;0,$W35&lt;=$O$16),$E$45,0)</f>
        <v/>
      </c>
      <c r="AG35" s="396">
        <f>IF(AND(SUM($AA$16:AA34)&gt;0,SUM($AG$16:AG34)&lt;$O$62,$W35&gt;=$O$65),$O$64,0)</f>
        <v/>
      </c>
      <c r="AH35" s="353">
        <f>IF(SUM($AA$17:$AA34)&gt;0,($O$62-SUM($AG$17:$AG34))*$E$65,0)</f>
        <v/>
      </c>
      <c r="AI35" s="411">
        <f>SUM(AD35:AF35)</f>
        <v/>
      </c>
      <c r="AJ35" s="353">
        <f>AC35-AI35</f>
        <v/>
      </c>
      <c r="AK35" s="405">
        <f>(SUM($P$31,$P$51)-SUM($AU$17:AU34))*$O$109</f>
        <v/>
      </c>
      <c r="AL35" s="413" t="n"/>
      <c r="AM35" s="415">
        <f>AJ35*$BF35</f>
        <v/>
      </c>
      <c r="AN35" s="349" t="n"/>
      <c r="AO35" s="414">
        <f>IF($W35=$F$16,$P$61,0)</f>
        <v/>
      </c>
      <c r="AP35" s="353">
        <f>IF($W35=$F$16,$P$63,0)</f>
        <v/>
      </c>
      <c r="AQ35" s="353">
        <f>IF($W35=$F$16,$P$62,0)</f>
        <v/>
      </c>
      <c r="AR35" s="396">
        <f>IF($W35&lt;$O$16,IF(W35=$F$16,$U$93,$U$94),0)</f>
        <v/>
      </c>
      <c r="AS35" s="411">
        <f>SUM(AO35:AP35,AR35)</f>
        <v/>
      </c>
      <c r="AT35" s="396">
        <f>IF(W35=$F$16,$P$30,0)</f>
        <v/>
      </c>
      <c r="AU35" s="396">
        <f>IFERROR(-PPMT($P$36,W35-$F$16,$F$17,SUM(P$31,P$51)),0)</f>
        <v/>
      </c>
      <c r="AV35" s="396">
        <f>IFERROR(-IPMT($P$36,W35-$F$16,$F$17,SUM($P$31,$P$51)),0)</f>
        <v/>
      </c>
      <c r="AW35" s="396">
        <f>IF(AND(W35&gt;$F$16,W35&lt;=SUM($F$16:$F$17)),$P$43,0)</f>
        <v/>
      </c>
      <c r="AX35" s="396">
        <f>IF($W35=1,$F$44,0)+IF(AND($W35&gt;0,$W35&lt;=$O$16),$F$45,0)</f>
        <v/>
      </c>
      <c r="AY35" s="396">
        <f>IF(AND(W35&gt;$F$16,W35&lt;=SUM($F$16:$F$17)),$P$54,0)</f>
        <v/>
      </c>
      <c r="AZ35" s="396">
        <f>IF(AND(SUM($AQ$16:AQ34)&gt;0,SUM($AZ$16:AZ34)&lt;$P$62,$W35&gt;=$P$65),$P$64,0)</f>
        <v/>
      </c>
      <c r="BA35" s="396">
        <f>IF(SUM($AQ$17:$AQ34)&gt;0,($P$62-SUM($AZ$17:$AZ34))*$F$65,0)</f>
        <v/>
      </c>
      <c r="BB35" s="411">
        <f>SUM(AT35:AY35)</f>
        <v/>
      </c>
      <c r="BC35" s="353">
        <f>AS35-BB35</f>
        <v/>
      </c>
      <c r="BD35" s="415">
        <f>BC35*$BF35</f>
        <v/>
      </c>
      <c r="BE35" s="393" t="n"/>
      <c r="BF35" s="46">
        <f>BF34/(1+$O$22)</f>
        <v/>
      </c>
      <c r="BH35" s="414">
        <f>AT35</f>
        <v/>
      </c>
      <c r="BI35" s="414">
        <f>AU35</f>
        <v/>
      </c>
      <c r="BJ35" s="353">
        <f>AV35</f>
        <v/>
      </c>
      <c r="BK35" s="353">
        <f>AW35</f>
        <v/>
      </c>
      <c r="BL35" s="353">
        <f>AY35</f>
        <v/>
      </c>
      <c r="BM35" s="353">
        <f>IF($W35&gt;$F$16,$F$56,0)</f>
        <v/>
      </c>
      <c r="BN35" s="415">
        <f>SUM(BH35:BM35)</f>
        <v/>
      </c>
      <c r="BO35" s="353">
        <f>IF($W35=$F$16,$P$32,0)</f>
        <v/>
      </c>
      <c r="BP35" s="353">
        <f>IF(AND(W35&gt;$F$16,W35&lt;=SUM($F$16:$F$17)),$P$41,0)</f>
        <v/>
      </c>
      <c r="BQ35" s="353">
        <f>IFERROR(-IPMT($P$67,W35-$F$16,$F$17,SUM(P$31,P$51)),0)</f>
        <v/>
      </c>
      <c r="BR35" s="353">
        <f>IF($W35&lt;=$O$16,$F$105,0)</f>
        <v/>
      </c>
      <c r="BS35" s="353">
        <f>IF($W35=1,SUM($O$103,$O$105),0)</f>
        <v/>
      </c>
      <c r="BT35" s="353">
        <f>IF($W35&lt;$O$16,IF(W35=$F$16,$P$94,$P$95),0)</f>
        <v/>
      </c>
      <c r="BU35" s="415">
        <f>SUM(BO35:BP35,BR35:BT35)</f>
        <v/>
      </c>
      <c r="BV35" s="415">
        <f>BN35-BU35</f>
        <v/>
      </c>
      <c r="BW35" s="337" t="n"/>
      <c r="BX35" s="338">
        <f>IFERROR(-PPMT($P$67,$W35-$F$16,$F$17,SUM(P$31,P$51)),0)</f>
        <v/>
      </c>
      <c r="BY35" s="356">
        <f>IF(BV35-BX35&gt;=0,0,1)</f>
        <v/>
      </c>
      <c r="CA35" s="0" t="n"/>
    </row>
    <row r="36" ht="15.75" customHeight="1" s="302">
      <c r="C36" s="2" t="inlineStr">
        <is>
          <t>民間資金調達スプレッド</t>
        </is>
      </c>
      <c r="D36" s="0" t="inlineStr">
        <is>
          <t>％</t>
        </is>
      </c>
      <c r="F36" s="361">
        <f>F70</f>
        <v/>
      </c>
      <c r="J36" s="4" t="n"/>
      <c r="K36" s="56" t="inlineStr">
        <is>
          <t>割賦金利</t>
        </is>
      </c>
      <c r="N36" s="19" t="inlineStr">
        <is>
          <t>％</t>
        </is>
      </c>
      <c r="O36" s="362" t="n"/>
      <c r="P36" s="36">
        <f>SUM(F35:F37)</f>
        <v/>
      </c>
      <c r="V36" s="58">
        <f>IF(W36=1,DATE(YEAR($F$18)+(MONTH($F$18)&gt;=4),4,0),EOMONTH(V35,12))</f>
        <v/>
      </c>
      <c r="W36" s="7" t="n">
        <v>20</v>
      </c>
      <c r="X36" s="282">
        <f>IF(W36&gt;$O$16,"-",IF($W36&lt;=$F$16,"整備期間","維持管理・運営期間"))</f>
        <v/>
      </c>
      <c r="Y36" s="410">
        <f>IF($W36=$F$16,$O$61,0)</f>
        <v/>
      </c>
      <c r="Z36" s="396">
        <f>IF($W36=$F$16,$O$63,0)</f>
        <v/>
      </c>
      <c r="AA36" s="396">
        <f>IF($W36=$F$16,$O$62,0)</f>
        <v/>
      </c>
      <c r="AB36" s="396">
        <f>IF(X36="維持管理・運営期間",$F$56,0)</f>
        <v/>
      </c>
      <c r="AC36" s="411">
        <f>SUM(Y36:Z36,AB36)</f>
        <v/>
      </c>
      <c r="AD36" s="410">
        <f>IF($W36=$F$16,$O$30,0)</f>
        <v/>
      </c>
      <c r="AE36" s="396">
        <f>IF($X36="維持管理・運営期間",$O$41,0)</f>
        <v/>
      </c>
      <c r="AF36" s="396">
        <f>IF(AND($W36&gt;0,$W36&lt;=$O$16),$E$45,0)</f>
        <v/>
      </c>
      <c r="AG36" s="396">
        <f>IF(AND(SUM($AA$16:AA35)&gt;0,SUM($AG$16:AG35)&lt;$O$62,$W36&gt;=$O$65),$O$64,0)</f>
        <v/>
      </c>
      <c r="AH36" s="353">
        <f>IF(SUM($AA$17:$AA35)&gt;0,($O$62-SUM($AG$17:$AG35))*$E$65,0)</f>
        <v/>
      </c>
      <c r="AI36" s="411">
        <f>SUM(AD36:AF36)</f>
        <v/>
      </c>
      <c r="AJ36" s="353">
        <f>AC36-AI36</f>
        <v/>
      </c>
      <c r="AK36" s="405">
        <f>(SUM($P$31,$P$51)-SUM($AU$17:AU35))*$O$109</f>
        <v/>
      </c>
      <c r="AL36" s="413" t="n"/>
      <c r="AM36" s="415">
        <f>AJ36*$BF36</f>
        <v/>
      </c>
      <c r="AN36" s="349" t="n"/>
      <c r="AO36" s="414">
        <f>IF($W36=$F$16,$P$61,0)</f>
        <v/>
      </c>
      <c r="AP36" s="353">
        <f>IF($W36=$F$16,$P$63,0)</f>
        <v/>
      </c>
      <c r="AQ36" s="353">
        <f>IF($W36=$F$16,$P$62,0)</f>
        <v/>
      </c>
      <c r="AR36" s="396">
        <f>IF($W36&lt;$O$16,IF(W36=$F$16,$U$93,$U$94),0)</f>
        <v/>
      </c>
      <c r="AS36" s="411">
        <f>SUM(AO36:AP36,AR36)</f>
        <v/>
      </c>
      <c r="AT36" s="396">
        <f>IF(W36=$F$16,$P$30,0)</f>
        <v/>
      </c>
      <c r="AU36" s="396">
        <f>IFERROR(-PPMT($P$36,W36-$F$16,$F$17,SUM(P$31,P$51)),0)</f>
        <v/>
      </c>
      <c r="AV36" s="396">
        <f>IFERROR(-IPMT($P$36,W36-$F$16,$F$17,SUM($P$31,$P$51)),0)</f>
        <v/>
      </c>
      <c r="AW36" s="396">
        <f>IF(AND(W36&gt;$F$16,W36&lt;=SUM($F$16:$F$17)),$P$43,0)</f>
        <v/>
      </c>
      <c r="AX36" s="396">
        <f>IF($W36=1,$F$44,0)+IF(AND($W36&gt;0,$W36&lt;=$O$16),$F$45,0)</f>
        <v/>
      </c>
      <c r="AY36" s="396">
        <f>IF(AND(W36&gt;$F$16,W36&lt;=SUM($F$16:$F$17)),$P$54,0)</f>
        <v/>
      </c>
      <c r="AZ36" s="396">
        <f>IF(AND(SUM($AQ$16:AQ35)&gt;0,SUM($AZ$16:AZ35)&lt;$P$62,$W36&gt;=$P$65),$P$64,0)</f>
        <v/>
      </c>
      <c r="BA36" s="396">
        <f>IF(SUM($AQ$17:$AQ35)&gt;0,($P$62-SUM($AZ$17:$AZ35))*$F$65,0)</f>
        <v/>
      </c>
      <c r="BB36" s="411">
        <f>SUM(AT36:AY36)</f>
        <v/>
      </c>
      <c r="BC36" s="353">
        <f>AS36-BB36</f>
        <v/>
      </c>
      <c r="BD36" s="415">
        <f>BC36*$BF36</f>
        <v/>
      </c>
      <c r="BE36" s="393" t="n"/>
      <c r="BF36" s="46">
        <f>BF35/(1+$O$22)</f>
        <v/>
      </c>
      <c r="BH36" s="414">
        <f>AT36</f>
        <v/>
      </c>
      <c r="BI36" s="414">
        <f>AU36</f>
        <v/>
      </c>
      <c r="BJ36" s="353">
        <f>AV36</f>
        <v/>
      </c>
      <c r="BK36" s="353">
        <f>AW36</f>
        <v/>
      </c>
      <c r="BL36" s="353">
        <f>AY36</f>
        <v/>
      </c>
      <c r="BM36" s="353">
        <f>IF($W36&gt;$F$16,$F$56,0)</f>
        <v/>
      </c>
      <c r="BN36" s="415">
        <f>SUM(BH36:BM36)</f>
        <v/>
      </c>
      <c r="BO36" s="353">
        <f>IF($W36=$F$16,$P$32,0)</f>
        <v/>
      </c>
      <c r="BP36" s="353">
        <f>IF(AND(W36&gt;$F$16,W36&lt;=SUM($F$16:$F$17)),$P$41,0)</f>
        <v/>
      </c>
      <c r="BQ36" s="353">
        <f>IFERROR(-IPMT($P$67,W36-$F$16,$F$17,SUM(P$31,P$51)),0)</f>
        <v/>
      </c>
      <c r="BR36" s="353">
        <f>IF($W36&lt;=$O$16,$F$105,0)</f>
        <v/>
      </c>
      <c r="BS36" s="353">
        <f>IF($W36=1,SUM($O$103,$O$105),0)</f>
        <v/>
      </c>
      <c r="BT36" s="353">
        <f>IF($W36&lt;$O$16,IF(W36=$F$16,$P$94,$P$95),0)</f>
        <v/>
      </c>
      <c r="BU36" s="415">
        <f>SUM(BO36:BP36,BR36:BT36)</f>
        <v/>
      </c>
      <c r="BV36" s="415">
        <f>BN36-BU36</f>
        <v/>
      </c>
      <c r="BW36" s="337" t="n"/>
      <c r="BX36" s="338">
        <f>IFERROR(-PPMT($P$67,$W36-$F$16,$F$17,SUM(P$31,P$51)),0)</f>
        <v/>
      </c>
      <c r="BY36" s="356">
        <f>IF(BV36-BX36&gt;=0,0,1)</f>
        <v/>
      </c>
      <c r="CA36" s="0" t="n"/>
    </row>
    <row r="37" ht="15.75" customHeight="1" s="302">
      <c r="C37" s="2" t="inlineStr">
        <is>
          <t>スプレッド</t>
        </is>
      </c>
      <c r="D37" s="0" t="inlineStr">
        <is>
          <t>％</t>
        </is>
      </c>
      <c r="F37" s="108" t="n">
        <v>0.01</v>
      </c>
      <c r="V37" s="58">
        <f>IF(W37=1,DATE(YEAR($F$18)+(MONTH($F$18)&gt;=4),4,0),EOMONTH(V36,12))</f>
        <v/>
      </c>
      <c r="W37" s="7" t="n">
        <v>21</v>
      </c>
      <c r="X37" s="282">
        <f>IF(W37&gt;$O$16,"-",IF($W37&lt;=$F$16,"整備期間","維持管理・運営期間"))</f>
        <v/>
      </c>
      <c r="Y37" s="410">
        <f>IF($W37=$F$16,$O$61,0)</f>
        <v/>
      </c>
      <c r="Z37" s="396">
        <f>IF($W37=$F$16,$O$63,0)</f>
        <v/>
      </c>
      <c r="AA37" s="396">
        <f>IF($W37=$F$16,$O$62,0)</f>
        <v/>
      </c>
      <c r="AB37" s="396">
        <f>IF(X37="維持管理・運営期間",$F$56,0)</f>
        <v/>
      </c>
      <c r="AC37" s="411">
        <f>SUM(Y37:Z37,AB37)</f>
        <v/>
      </c>
      <c r="AD37" s="410">
        <f>IF($W37=$F$16,$O$30,0)</f>
        <v/>
      </c>
      <c r="AE37" s="396">
        <f>IF($X37="維持管理・運営期間",$O$41,0)</f>
        <v/>
      </c>
      <c r="AF37" s="396">
        <f>IF(AND($W37&gt;0,$W37&lt;=$O$16),$E$45,0)</f>
        <v/>
      </c>
      <c r="AG37" s="396">
        <f>IF(AND(SUM($AA$16:AA36)&gt;0,SUM($AG$16:AG36)&lt;$O$62,$W37&gt;=$O$65),$O$64,0)</f>
        <v/>
      </c>
      <c r="AH37" s="353">
        <f>IF(SUM($AA$17:$AA36)&gt;0,($O$62-SUM($AG$17:$AG36))*$E$65,0)</f>
        <v/>
      </c>
      <c r="AI37" s="411">
        <f>SUM(AD37:AF37)</f>
        <v/>
      </c>
      <c r="AJ37" s="353">
        <f>AC37-AI37</f>
        <v/>
      </c>
      <c r="AK37" s="405">
        <f>(SUM($P$31,$P$51)-SUM($AU$17:AU36))*$O$109</f>
        <v/>
      </c>
      <c r="AL37" s="413" t="n"/>
      <c r="AM37" s="415">
        <f>AJ37*$BF37</f>
        <v/>
      </c>
      <c r="AN37" s="349" t="n"/>
      <c r="AO37" s="414">
        <f>IF($W37=$F$16,$P$61,0)</f>
        <v/>
      </c>
      <c r="AP37" s="353">
        <f>IF($W37=$F$16,$P$63,0)</f>
        <v/>
      </c>
      <c r="AQ37" s="353">
        <f>IF($W37=$F$16,$P$62,0)</f>
        <v/>
      </c>
      <c r="AR37" s="396">
        <f>IF($W37&lt;$O$16,IF(W37=$F$16,$U$93,$U$94),0)</f>
        <v/>
      </c>
      <c r="AS37" s="411">
        <f>SUM(AO37:AP37,AR37)</f>
        <v/>
      </c>
      <c r="AT37" s="396">
        <f>IF(W37=$F$16,$P$30,0)</f>
        <v/>
      </c>
      <c r="AU37" s="396">
        <f>IFERROR(-PPMT($P$36,W37-$F$16,$F$17,SUM(P$31,P$51)),0)</f>
        <v/>
      </c>
      <c r="AV37" s="396">
        <f>IFERROR(-IPMT($P$36,W37-$F$16,$F$17,SUM($P$31,$P$51)),0)</f>
        <v/>
      </c>
      <c r="AW37" s="396">
        <f>IF(AND(W37&gt;$F$16,W37&lt;=SUM($F$16:$F$17)),$P$43,0)</f>
        <v/>
      </c>
      <c r="AX37" s="396">
        <f>IF($W37=1,$F$44,0)+IF(AND($W37&gt;0,$W37&lt;=$O$16),$F$45,0)</f>
        <v/>
      </c>
      <c r="AY37" s="396">
        <f>IF(AND(W37&gt;$F$16,W37&lt;=SUM($F$16:$F$17)),$P$54,0)</f>
        <v/>
      </c>
      <c r="AZ37" s="396">
        <f>IF(AND(SUM($AQ$16:AQ36)&gt;0,SUM($AZ$16:AZ36)&lt;$P$62,$W37&gt;=$P$65),$P$64,0)</f>
        <v/>
      </c>
      <c r="BA37" s="396">
        <f>IF(SUM($AQ$17:$AQ36)&gt;0,($P$62-SUM($AZ$17:$AZ36))*$F$65,0)</f>
        <v/>
      </c>
      <c r="BB37" s="411">
        <f>SUM(AT37:AY37)</f>
        <v/>
      </c>
      <c r="BC37" s="353">
        <f>AS37-BB37</f>
        <v/>
      </c>
      <c r="BD37" s="415">
        <f>BC37*$BF37</f>
        <v/>
      </c>
      <c r="BE37" s="393" t="n"/>
      <c r="BF37" s="46">
        <f>BF36/(1+$O$22)</f>
        <v/>
      </c>
      <c r="BH37" s="414">
        <f>AT37</f>
        <v/>
      </c>
      <c r="BI37" s="414">
        <f>AU37</f>
        <v/>
      </c>
      <c r="BJ37" s="353">
        <f>AV37</f>
        <v/>
      </c>
      <c r="BK37" s="353">
        <f>AW37</f>
        <v/>
      </c>
      <c r="BL37" s="353">
        <f>AY37</f>
        <v/>
      </c>
      <c r="BM37" s="353">
        <f>IF($W37&gt;$F$16,$F$56,0)</f>
        <v/>
      </c>
      <c r="BN37" s="415">
        <f>SUM(BH37:BM37)</f>
        <v/>
      </c>
      <c r="BO37" s="353">
        <f>IF($W37=$F$16,$P$32,0)</f>
        <v/>
      </c>
      <c r="BP37" s="353">
        <f>IF(AND(W37&gt;$F$16,W37&lt;=SUM($F$16:$F$17)),$P$41,0)</f>
        <v/>
      </c>
      <c r="BQ37" s="353">
        <f>IFERROR(-IPMT($P$67,W37-$F$16,$F$17,SUM(P$31,P$51)),0)</f>
        <v/>
      </c>
      <c r="BR37" s="353">
        <f>IF($W37&lt;=$O$16,$F$105,0)</f>
        <v/>
      </c>
      <c r="BS37" s="353">
        <f>IF($W37=1,SUM($O$103,$O$105),0)</f>
        <v/>
      </c>
      <c r="BT37" s="353">
        <f>IF($W37&lt;$O$16,IF(W37=$F$16,$P$94,$P$95),0)</f>
        <v/>
      </c>
      <c r="BU37" s="415">
        <f>SUM(BO37:BP37,BR37:BT37)</f>
        <v/>
      </c>
      <c r="BV37" s="415">
        <f>BN37-BU37</f>
        <v/>
      </c>
      <c r="BW37" s="337" t="n"/>
      <c r="BX37" s="338">
        <f>IFERROR(-PPMT($P$67,$W37-$F$16,$F$17,SUM(P$31,P$51)),0)</f>
        <v/>
      </c>
      <c r="BY37" s="356">
        <f>IF(BV37-BX37&gt;=0,0,1)</f>
        <v/>
      </c>
      <c r="CA37" s="0" t="n"/>
    </row>
    <row r="38" ht="15.75" customHeight="1" s="302">
      <c r="C38" s="99" t="n"/>
      <c r="D38" s="101" t="inlineStr">
        <is>
          <t>Checks:割賦＞SPC収支</t>
        </is>
      </c>
      <c r="E38" s="100" t="n"/>
      <c r="F38" s="363">
        <f>BY15</f>
        <v/>
      </c>
      <c r="V38" s="58">
        <f>IF(W38=1,DATE(YEAR($F$18)+(MONTH($F$18)&gt;=4),4,0),EOMONTH(V37,12))</f>
        <v/>
      </c>
      <c r="W38" s="7" t="n">
        <v>22</v>
      </c>
      <c r="X38" s="282">
        <f>IF(W38&gt;$O$16,"-",IF($W38&lt;=$F$16,"整備期間","維持管理・運営期間"))</f>
        <v/>
      </c>
      <c r="Y38" s="410">
        <f>IF($W38=$F$16,$O$61,0)</f>
        <v/>
      </c>
      <c r="Z38" s="396">
        <f>IF($W38=$F$16,$O$63,0)</f>
        <v/>
      </c>
      <c r="AA38" s="396">
        <f>IF($W38=$F$16,$O$62,0)</f>
        <v/>
      </c>
      <c r="AB38" s="396">
        <f>IF(X38="維持管理・運営期間",$F$56,0)</f>
        <v/>
      </c>
      <c r="AC38" s="411">
        <f>SUM(Y38:Z38,AB38)</f>
        <v/>
      </c>
      <c r="AD38" s="410">
        <f>IF($W38=$F$16,$O$30,0)</f>
        <v/>
      </c>
      <c r="AE38" s="396">
        <f>IF($X38="維持管理・運営期間",$O$41,0)</f>
        <v/>
      </c>
      <c r="AF38" s="396">
        <f>IF(AND($W38&gt;0,$W38&lt;=$O$16),$E$45,0)</f>
        <v/>
      </c>
      <c r="AG38" s="396">
        <f>IF(AND(SUM($AA$16:AA37)&gt;0,SUM($AG$16:AG37)&lt;$O$62,$W38&gt;=$O$65),$O$64,0)</f>
        <v/>
      </c>
      <c r="AH38" s="353">
        <f>IF(SUM($AA$17:$AA37)&gt;0,($O$62-SUM($AG$17:$AG37))*$E$65,0)</f>
        <v/>
      </c>
      <c r="AI38" s="411">
        <f>SUM(AD38:AF38)</f>
        <v/>
      </c>
      <c r="AJ38" s="353">
        <f>AC38-AI38</f>
        <v/>
      </c>
      <c r="AK38" s="405">
        <f>(SUM($P$31,$P$51)-SUM($AU$17:AU37))*$O$109</f>
        <v/>
      </c>
      <c r="AL38" s="413" t="n"/>
      <c r="AM38" s="415">
        <f>AJ38*$BF38</f>
        <v/>
      </c>
      <c r="AN38" s="349" t="n"/>
      <c r="AO38" s="414">
        <f>IF($W38=$F$16,$P$61,0)</f>
        <v/>
      </c>
      <c r="AP38" s="353">
        <f>IF($W38=$F$16,$P$63,0)</f>
        <v/>
      </c>
      <c r="AQ38" s="353">
        <f>IF($W38=$F$16,$P$62,0)</f>
        <v/>
      </c>
      <c r="AR38" s="396">
        <f>IF($W38&lt;$O$16,IF(W38=$F$16,$U$93,$U$94),0)</f>
        <v/>
      </c>
      <c r="AS38" s="411">
        <f>SUM(AO38:AP38,AR38)</f>
        <v/>
      </c>
      <c r="AT38" s="396">
        <f>IF(W38=$F$16,$P$30,0)</f>
        <v/>
      </c>
      <c r="AU38" s="396">
        <f>IFERROR(-PPMT($P$36,W38-$F$16,$F$17,SUM(P$31,P$51)),0)</f>
        <v/>
      </c>
      <c r="AV38" s="396">
        <f>IFERROR(-IPMT($P$36,W38-$F$16,$F$17,SUM($P$31,$P$51)),0)</f>
        <v/>
      </c>
      <c r="AW38" s="396">
        <f>IF(AND(W38&gt;$F$16,W38&lt;=SUM($F$16:$F$17)),$P$43,0)</f>
        <v/>
      </c>
      <c r="AX38" s="396">
        <f>IF($W38=1,$F$44,0)+IF(AND($W38&gt;0,$W38&lt;=$O$16),$F$45,0)</f>
        <v/>
      </c>
      <c r="AY38" s="396">
        <f>IF(AND(W38&gt;$F$16,W38&lt;=SUM($F$16:$F$17)),$P$54,0)</f>
        <v/>
      </c>
      <c r="AZ38" s="396">
        <f>IF(AND(SUM($AQ$16:AQ37)&gt;0,SUM($AZ$16:AZ37)&lt;$P$62,$W38&gt;=$P$65),$P$64,0)</f>
        <v/>
      </c>
      <c r="BA38" s="396">
        <f>IF(SUM($AQ$17:$AQ37)&gt;0,($P$62-SUM($AZ$17:$AZ37))*$F$65,0)</f>
        <v/>
      </c>
      <c r="BB38" s="411">
        <f>SUM(AT38:AY38)</f>
        <v/>
      </c>
      <c r="BC38" s="353">
        <f>AS38-BB38</f>
        <v/>
      </c>
      <c r="BD38" s="415">
        <f>BC38*$BF38</f>
        <v/>
      </c>
      <c r="BE38" s="393" t="n"/>
      <c r="BF38" s="46">
        <f>BF37/(1+$O$22)</f>
        <v/>
      </c>
      <c r="BH38" s="414">
        <f>AT38</f>
        <v/>
      </c>
      <c r="BI38" s="414">
        <f>AU38</f>
        <v/>
      </c>
      <c r="BJ38" s="353">
        <f>AV38</f>
        <v/>
      </c>
      <c r="BK38" s="353">
        <f>AW38</f>
        <v/>
      </c>
      <c r="BL38" s="353">
        <f>AY38</f>
        <v/>
      </c>
      <c r="BM38" s="353">
        <f>IF($W38&gt;$F$16,$F$56,0)</f>
        <v/>
      </c>
      <c r="BN38" s="415">
        <f>SUM(BH38:BM38)</f>
        <v/>
      </c>
      <c r="BO38" s="353">
        <f>IF($W38=$F$16,$P$32,0)</f>
        <v/>
      </c>
      <c r="BP38" s="353">
        <f>IF(AND(W38&gt;$F$16,W38&lt;=SUM($F$16:$F$17)),$P$41,0)</f>
        <v/>
      </c>
      <c r="BQ38" s="353">
        <f>IFERROR(-IPMT($P$67,W38-$F$16,$F$17,SUM(P$31,P$51)),0)</f>
        <v/>
      </c>
      <c r="BR38" s="353">
        <f>IF($W38&lt;=$O$16,$F$105,0)</f>
        <v/>
      </c>
      <c r="BS38" s="353">
        <f>IF($W38=1,SUM($O$103,$O$105),0)</f>
        <v/>
      </c>
      <c r="BT38" s="353">
        <f>IF($W38&lt;$O$16,IF(W38=$F$16,$P$94,$P$95),0)</f>
        <v/>
      </c>
      <c r="BU38" s="415">
        <f>SUM(BO38:BP38,BR38:BT38)</f>
        <v/>
      </c>
      <c r="BV38" s="415">
        <f>BN38-BU38</f>
        <v/>
      </c>
      <c r="BW38" s="337" t="n"/>
      <c r="BX38" s="338">
        <f>IFERROR(-PPMT($P$67,$W38-$F$16,$F$17,SUM(P$31,P$51)),0)</f>
        <v/>
      </c>
      <c r="BY38" s="356">
        <f>IF(BV38-BX38&gt;=0,0,1)</f>
        <v/>
      </c>
      <c r="CA38" s="0" t="n"/>
    </row>
    <row r="39" ht="15.75" customHeight="1" s="302">
      <c r="V39" s="58">
        <f>IF(W39=1,DATE(YEAR($F$18)+(MONTH($F$18)&gt;=4),4,0),EOMONTH(V38,12))</f>
        <v/>
      </c>
      <c r="W39" s="7" t="n">
        <v>23</v>
      </c>
      <c r="X39" s="282">
        <f>IF(W39&gt;$O$16,"-",IF($W39&lt;=$F$16,"整備期間","維持管理・運営期間"))</f>
        <v/>
      </c>
      <c r="Y39" s="410">
        <f>IF($W39=$F$16,$O$61,0)</f>
        <v/>
      </c>
      <c r="Z39" s="396">
        <f>IF($W39=$F$16,$O$63,0)</f>
        <v/>
      </c>
      <c r="AA39" s="396">
        <f>IF($W39=$F$16,$O$62,0)</f>
        <v/>
      </c>
      <c r="AB39" s="396">
        <f>IF(X39="維持管理・運営期間",$F$56,0)</f>
        <v/>
      </c>
      <c r="AC39" s="411">
        <f>SUM(Y39:Z39,AB39)</f>
        <v/>
      </c>
      <c r="AD39" s="410">
        <f>IF($W39=$F$16,$O$30,0)</f>
        <v/>
      </c>
      <c r="AE39" s="396">
        <f>IF($X39="維持管理・運営期間",$O$41,0)</f>
        <v/>
      </c>
      <c r="AF39" s="396">
        <f>IF(AND($W39&gt;0,$W39&lt;=$O$16),$E$45,0)</f>
        <v/>
      </c>
      <c r="AG39" s="396">
        <f>IF(AND(SUM($AA$16:AA38)&gt;0,SUM($AG$16:AG38)&lt;$O$62,$W39&gt;=$O$65),$O$64,0)</f>
        <v/>
      </c>
      <c r="AH39" s="353">
        <f>IF(SUM($AA$17:$AA38)&gt;0,($O$62-SUM($AG$17:$AG38))*$E$65,0)</f>
        <v/>
      </c>
      <c r="AI39" s="411">
        <f>SUM(AD39:AF39)</f>
        <v/>
      </c>
      <c r="AJ39" s="353">
        <f>AC39-AI39</f>
        <v/>
      </c>
      <c r="AK39" s="405">
        <f>(SUM($P$31,$P$51)-SUM($AU$17:AU38))*$O$109</f>
        <v/>
      </c>
      <c r="AL39" s="413" t="n"/>
      <c r="AM39" s="415">
        <f>AJ39*$BF39</f>
        <v/>
      </c>
      <c r="AN39" s="349" t="n"/>
      <c r="AO39" s="414">
        <f>IF($W39=$F$16,$P$61,0)</f>
        <v/>
      </c>
      <c r="AP39" s="353">
        <f>IF($W39=$F$16,$P$63,0)</f>
        <v/>
      </c>
      <c r="AQ39" s="353">
        <f>IF($W39=$F$16,$P$62,0)</f>
        <v/>
      </c>
      <c r="AR39" s="396">
        <f>IF($W39&lt;$O$16,IF(W39=$F$16,$U$93,$U$94),0)</f>
        <v/>
      </c>
      <c r="AS39" s="411">
        <f>SUM(AO39:AP39,AR39)</f>
        <v/>
      </c>
      <c r="AT39" s="396">
        <f>IF(W39=$F$16,$P$30,0)</f>
        <v/>
      </c>
      <c r="AU39" s="396">
        <f>IFERROR(-PPMT($P$36,W39-$F$16,$F$17,SUM(P$31,P$51)),0)</f>
        <v/>
      </c>
      <c r="AV39" s="396">
        <f>IFERROR(-IPMT($P$36,W39-$F$16,$F$17,SUM($P$31,$P$51)),0)</f>
        <v/>
      </c>
      <c r="AW39" s="396">
        <f>IF(AND(W39&gt;$F$16,W39&lt;=SUM($F$16:$F$17)),$P$43,0)</f>
        <v/>
      </c>
      <c r="AX39" s="396">
        <f>IF($W39=1,$F$44,0)+IF(AND($W39&gt;0,$W39&lt;=$O$16),$F$45,0)</f>
        <v/>
      </c>
      <c r="AY39" s="396">
        <f>IF(AND(W39&gt;$F$16,W39&lt;=SUM($F$16:$F$17)),$P$54,0)</f>
        <v/>
      </c>
      <c r="AZ39" s="396">
        <f>IF(AND(SUM($AQ$16:AQ38)&gt;0,SUM($AZ$16:AZ38)&lt;$P$62,$W39&gt;=$P$65),$P$64,0)</f>
        <v/>
      </c>
      <c r="BA39" s="396">
        <f>IF(SUM($AQ$17:$AQ38)&gt;0,($P$62-SUM($AZ$17:$AZ38))*$F$65,0)</f>
        <v/>
      </c>
      <c r="BB39" s="411">
        <f>SUM(AT39:AY39)</f>
        <v/>
      </c>
      <c r="BC39" s="353">
        <f>AS39-BB39</f>
        <v/>
      </c>
      <c r="BD39" s="415">
        <f>BC39*$BF39</f>
        <v/>
      </c>
      <c r="BE39" s="393" t="n"/>
      <c r="BF39" s="46">
        <f>BF38/(1+$O$22)</f>
        <v/>
      </c>
      <c r="BH39" s="414">
        <f>AT39</f>
        <v/>
      </c>
      <c r="BI39" s="414">
        <f>AU39</f>
        <v/>
      </c>
      <c r="BJ39" s="353">
        <f>AV39</f>
        <v/>
      </c>
      <c r="BK39" s="353">
        <f>AW39</f>
        <v/>
      </c>
      <c r="BL39" s="353">
        <f>AY39</f>
        <v/>
      </c>
      <c r="BM39" s="353">
        <f>IF($W39&gt;$F$16,$F$56,0)</f>
        <v/>
      </c>
      <c r="BN39" s="415">
        <f>SUM(BH39:BM39)</f>
        <v/>
      </c>
      <c r="BO39" s="353">
        <f>IF($W39=$F$16,$P$32,0)</f>
        <v/>
      </c>
      <c r="BP39" s="353">
        <f>IF(AND(W39&gt;$F$16,W39&lt;=SUM($F$16:$F$17)),$P$41,0)</f>
        <v/>
      </c>
      <c r="BQ39" s="353">
        <f>IFERROR(-IPMT($P$67,W39-$F$16,$F$17,SUM(P$31,P$51)),0)</f>
        <v/>
      </c>
      <c r="BR39" s="353">
        <f>IF($W39&lt;=$O$16,$F$105,0)</f>
        <v/>
      </c>
      <c r="BS39" s="353">
        <f>IF($W39=1,SUM($O$103,$O$105),0)</f>
        <v/>
      </c>
      <c r="BT39" s="353">
        <f>IF($W39&lt;$O$16,IF(W39=$F$16,$P$94,$P$95),0)</f>
        <v/>
      </c>
      <c r="BU39" s="415">
        <f>SUM(BO39:BP39,BR39:BT39)</f>
        <v/>
      </c>
      <c r="BV39" s="415">
        <f>BN39-BU39</f>
        <v/>
      </c>
      <c r="BW39" s="337" t="n"/>
      <c r="BX39" s="338">
        <f>IFERROR(-PPMT($P$67,$W39-$F$16,$F$17,SUM(P$31,P$51)),0)</f>
        <v/>
      </c>
      <c r="BY39" s="356">
        <f>IF(BV39-BX39&gt;=0,0,1)</f>
        <v/>
      </c>
      <c r="CA39" s="0" t="n"/>
    </row>
    <row r="40" ht="15.75" customHeight="1" s="302">
      <c r="B40" s="0" t="inlineStr">
        <is>
          <t>2.3維持管理運営費用（年額）</t>
        </is>
      </c>
      <c r="D40" s="0" t="inlineStr">
        <is>
          <t>百万円</t>
        </is>
      </c>
      <c r="F40" s="394">
        <f>SUM(F41:F42)</f>
        <v/>
      </c>
      <c r="J40" s="4" t="inlineStr">
        <is>
          <t>2.3 維持管理運営費用（年額）</t>
        </is>
      </c>
      <c r="O40" s="0" t="inlineStr">
        <is>
          <t>PSC</t>
        </is>
      </c>
      <c r="P40" s="0" t="inlineStr">
        <is>
          <t>PFI-LCC</t>
        </is>
      </c>
      <c r="V40" s="58">
        <f>IF(W40=1,DATE(YEAR($F$18)+(MONTH($F$18)&gt;=4),4,0),EOMONTH(V39,12))</f>
        <v/>
      </c>
      <c r="W40" s="26" t="n">
        <v>24</v>
      </c>
      <c r="X40" s="282">
        <f>IF(W40&gt;$O$16,"-",IF($W40&lt;=$F$16,"整備期間","維持管理・運営期間"))</f>
        <v/>
      </c>
      <c r="Y40" s="410">
        <f>IF($W40=$F$16,$O$61,0)</f>
        <v/>
      </c>
      <c r="Z40" s="396">
        <f>IF($W40=$F$16,$O$63,0)</f>
        <v/>
      </c>
      <c r="AA40" s="396">
        <f>IF($W40=$F$16,$O$62,0)</f>
        <v/>
      </c>
      <c r="AB40" s="396">
        <f>IF(X40="維持管理・運営期間",$F$56,0)</f>
        <v/>
      </c>
      <c r="AC40" s="411">
        <f>SUM(Y40:Z40,AB40)</f>
        <v/>
      </c>
      <c r="AD40" s="410">
        <f>IF($W40=$F$16,$O$30,0)</f>
        <v/>
      </c>
      <c r="AE40" s="396">
        <f>IF($X40="維持管理・運営期間",$O$41,0)</f>
        <v/>
      </c>
      <c r="AF40" s="396">
        <f>IF(AND($W40&gt;0,$W40&lt;=$O$16),$E$45,0)</f>
        <v/>
      </c>
      <c r="AG40" s="396">
        <f>IF(AND(SUM($AA$16:AA39)&gt;0,SUM($AG$16:AG39)&lt;$O$62,$W40&gt;=$O$65),$O$64,0)</f>
        <v/>
      </c>
      <c r="AH40" s="353">
        <f>IF(SUM($AA$17:$AA39)&gt;0,($O$62-SUM($AG$17:$AG39))*$E$65,0)</f>
        <v/>
      </c>
      <c r="AI40" s="411">
        <f>SUM(AD40:AF40)</f>
        <v/>
      </c>
      <c r="AJ40" s="353">
        <f>AC40-AI40</f>
        <v/>
      </c>
      <c r="AK40" s="405">
        <f>(SUM($P$31,$P$51)-SUM($AU$17:AU39))*$O$109</f>
        <v/>
      </c>
      <c r="AL40" s="413" t="n"/>
      <c r="AM40" s="415">
        <f>AJ40*$BF40</f>
        <v/>
      </c>
      <c r="AN40" s="349" t="n"/>
      <c r="AO40" s="414">
        <f>IF($W40=$F$16,$P$61,0)</f>
        <v/>
      </c>
      <c r="AP40" s="353">
        <f>IF($W40=$F$16,$P$63,0)</f>
        <v/>
      </c>
      <c r="AQ40" s="353">
        <f>IF($W40=$F$16,$P$62,0)</f>
        <v/>
      </c>
      <c r="AR40" s="396">
        <f>IF($W40&lt;$O$16,IF(W40=$F$16,$U$93,$U$94),0)</f>
        <v/>
      </c>
      <c r="AS40" s="411">
        <f>SUM(AO40:AP40,AR40)</f>
        <v/>
      </c>
      <c r="AT40" s="396">
        <f>IF(W40=$F$16,$P$30,0)</f>
        <v/>
      </c>
      <c r="AU40" s="396">
        <f>IFERROR(-PPMT($P$36,W40-$F$16,$F$17,SUM(P$31,P$51)),0)</f>
        <v/>
      </c>
      <c r="AV40" s="396">
        <f>IFERROR(-IPMT($P$36,W40-$F$16,$F$17,SUM($P$31,$P$51)),0)</f>
        <v/>
      </c>
      <c r="AW40" s="396">
        <f>IF(AND(W40&gt;$F$16,W40&lt;=SUM($F$16:$F$17)),$P$43,0)</f>
        <v/>
      </c>
      <c r="AX40" s="396">
        <f>IF($W40=1,$F$44,0)+IF(AND($W40&gt;0,$W40&lt;=$O$16),$F$45,0)</f>
        <v/>
      </c>
      <c r="AY40" s="396">
        <f>IF(AND(W40&gt;$F$16,W40&lt;=SUM($F$16:$F$17)),$P$54,0)</f>
        <v/>
      </c>
      <c r="AZ40" s="396">
        <f>IF(AND(SUM($AQ$16:AQ39)&gt;0,SUM($AZ$16:AZ39)&lt;$P$62,$W40&gt;=$P$65),$P$64,0)</f>
        <v/>
      </c>
      <c r="BA40" s="396">
        <f>IF(SUM($AQ$17:$AQ39)&gt;0,($P$62-SUM($AZ$17:$AZ39))*$F$65,0)</f>
        <v/>
      </c>
      <c r="BB40" s="411">
        <f>SUM(AT40:AY40)</f>
        <v/>
      </c>
      <c r="BC40" s="353">
        <f>AS40-BB40</f>
        <v/>
      </c>
      <c r="BD40" s="415">
        <f>BC40*$BF40</f>
        <v/>
      </c>
      <c r="BE40" s="393" t="n"/>
      <c r="BF40" s="46">
        <f>BF39/(1+$O$22)</f>
        <v/>
      </c>
      <c r="BH40" s="414">
        <f>AT40</f>
        <v/>
      </c>
      <c r="BI40" s="414">
        <f>AU40</f>
        <v/>
      </c>
      <c r="BJ40" s="353">
        <f>AV40</f>
        <v/>
      </c>
      <c r="BK40" s="353">
        <f>AW40</f>
        <v/>
      </c>
      <c r="BL40" s="353">
        <f>AY40</f>
        <v/>
      </c>
      <c r="BM40" s="353">
        <f>IF($W40&gt;$F$16,$F$56,0)</f>
        <v/>
      </c>
      <c r="BN40" s="415">
        <f>SUM(BH40:BM40)</f>
        <v/>
      </c>
      <c r="BO40" s="353">
        <f>IF($W40=$F$16,$P$32,0)</f>
        <v/>
      </c>
      <c r="BP40" s="353">
        <f>IF(AND(W40&gt;$F$16,W40&lt;=SUM($F$16:$F$17)),$P$41,0)</f>
        <v/>
      </c>
      <c r="BQ40" s="353">
        <f>IFERROR(-IPMT($P$67,W40-$F$16,$F$17,SUM(P$31,P$51)),0)</f>
        <v/>
      </c>
      <c r="BR40" s="353">
        <f>IF($W40&lt;=$O$16,$F$105,0)</f>
        <v/>
      </c>
      <c r="BS40" s="353">
        <f>IF($W40=1,SUM($O$103,$O$105),0)</f>
        <v/>
      </c>
      <c r="BT40" s="353">
        <f>IF($W40&lt;$O$16,IF(W40=$F$16,$P$94,$P$95),0)</f>
        <v/>
      </c>
      <c r="BU40" s="415">
        <f>SUM(BO40:BP40,BR40:BT40)</f>
        <v/>
      </c>
      <c r="BV40" s="415">
        <f>BN40-BU40</f>
        <v/>
      </c>
      <c r="BW40" s="337" t="n"/>
      <c r="BX40" s="338">
        <f>IFERROR(-PPMT($P$67,$W40-$F$16,$F$17,SUM(P$31,P$51)),0)</f>
        <v/>
      </c>
      <c r="BY40" s="356">
        <f>IF(BV40-BX40&gt;=0,0,1)</f>
        <v/>
      </c>
      <c r="CA40" s="0" t="n"/>
    </row>
    <row r="41" ht="15.75" customHeight="1" s="302">
      <c r="C41" s="2" t="inlineStr">
        <is>
          <t>うち、過去の落札価格を反映</t>
        </is>
      </c>
      <c r="D41" s="0" t="inlineStr">
        <is>
          <t>百万円</t>
        </is>
      </c>
      <c r="F41" s="359">
        <f>事業費用概算!G27</f>
        <v/>
      </c>
      <c r="K41" s="0" t="inlineStr">
        <is>
          <t>維持管理運営費用（年額）</t>
        </is>
      </c>
      <c r="N41" s="19" t="inlineStr">
        <is>
          <t>百万円</t>
        </is>
      </c>
      <c r="O41" s="364">
        <f>F40</f>
        <v/>
      </c>
      <c r="P41" s="365">
        <f>F40*(1-F52)</f>
        <v/>
      </c>
      <c r="Q41" s="0" t="inlineStr">
        <is>
          <t>PSCは競争の効果反映、LCCは削減率を反映</t>
        </is>
      </c>
      <c r="V41" s="58">
        <f>IF(W41=1,DATE(YEAR($F$18)+(MONTH($F$18)&gt;=4),4,0),EOMONTH(V40,12))</f>
        <v/>
      </c>
      <c r="W41" s="26" t="n">
        <v>25</v>
      </c>
      <c r="X41" s="282">
        <f>IF(W41&gt;$O$16,"-",IF($W41&lt;=$F$16,"整備期間","維持管理・運営期間"))</f>
        <v/>
      </c>
      <c r="Y41" s="410">
        <f>IF($W41=$F$16,$O$61,0)</f>
        <v/>
      </c>
      <c r="Z41" s="396">
        <f>IF($W41=$F$16,$O$63,0)</f>
        <v/>
      </c>
      <c r="AA41" s="396">
        <f>IF($W41=$F$16,$O$62,0)</f>
        <v/>
      </c>
      <c r="AB41" s="396">
        <f>IF(X41="維持管理・運営期間",$F$56,0)</f>
        <v/>
      </c>
      <c r="AC41" s="411">
        <f>SUM(Y41:Z41,AB41)</f>
        <v/>
      </c>
      <c r="AD41" s="410">
        <f>IF($W41=$F$16,$O$30,0)</f>
        <v/>
      </c>
      <c r="AE41" s="396">
        <f>IF($X41="維持管理・運営期間",$O$41,0)</f>
        <v/>
      </c>
      <c r="AF41" s="396">
        <f>IF(AND($W41&gt;0,$W41&lt;=$O$16),$E$45,0)</f>
        <v/>
      </c>
      <c r="AG41" s="396">
        <f>IF(AND(SUM($AA$16:AA40)&gt;0,SUM($AG$16:AG40)&lt;$O$62,$W41&gt;=$O$65),$O$64,0)</f>
        <v/>
      </c>
      <c r="AH41" s="353">
        <f>IF(SUM($AA$17:$AA40)&gt;0,($O$62-SUM($AG$17:$AG40))*$E$65,0)</f>
        <v/>
      </c>
      <c r="AI41" s="411">
        <f>SUM(AD41:AF41)</f>
        <v/>
      </c>
      <c r="AJ41" s="353">
        <f>AC41-AI41</f>
        <v/>
      </c>
      <c r="AK41" s="405">
        <f>(SUM($P$31,$P$51)-SUM($AU$17:AU40))*$O$109</f>
        <v/>
      </c>
      <c r="AL41" s="413" t="n"/>
      <c r="AM41" s="415">
        <f>AJ41*$BF41</f>
        <v/>
      </c>
      <c r="AN41" s="349" t="n"/>
      <c r="AO41" s="414">
        <f>IF($W41=$F$16,$P$61,0)</f>
        <v/>
      </c>
      <c r="AP41" s="353">
        <f>IF($W41=$F$16,$P$63,0)</f>
        <v/>
      </c>
      <c r="AQ41" s="353">
        <f>IF($W41=$F$16,$P$62,0)</f>
        <v/>
      </c>
      <c r="AR41" s="396">
        <f>IF($W41&lt;$O$16,IF(W41=$F$16,$U$93,$U$94),0)</f>
        <v/>
      </c>
      <c r="AS41" s="411">
        <f>SUM(AO41:AP41,AR41)</f>
        <v/>
      </c>
      <c r="AT41" s="396">
        <f>IF(W41=$F$16,$P$30,0)</f>
        <v/>
      </c>
      <c r="AU41" s="396">
        <f>IFERROR(-PPMT($P$36,W41-$F$16,$F$17,SUM(P$31,P$51)),0)</f>
        <v/>
      </c>
      <c r="AV41" s="396">
        <f>IFERROR(-IPMT($P$36,W41-$F$16,$F$17,SUM($P$31,$P$51)),0)</f>
        <v/>
      </c>
      <c r="AW41" s="396">
        <f>IF(AND(W41&gt;$F$16,W41&lt;=SUM($F$16:$F$17)),$P$43,0)</f>
        <v/>
      </c>
      <c r="AX41" s="396">
        <f>IF($W41=1,$F$44,0)+IF(AND($W41&gt;0,$W41&lt;=$O$16),$F$45,0)</f>
        <v/>
      </c>
      <c r="AY41" s="396">
        <f>IF(AND(W41&gt;$F$16,W41&lt;=SUM($F$16:$F$17)),$P$54,0)</f>
        <v/>
      </c>
      <c r="AZ41" s="396">
        <f>IF(AND(SUM($AQ$16:AQ40)&gt;0,SUM($AZ$16:AZ40)&lt;$P$62,$W41&gt;=$P$65),$P$64,0)</f>
        <v/>
      </c>
      <c r="BA41" s="396">
        <f>IF(SUM($AQ$17:$AQ40)&gt;0,($P$62-SUM($AZ$17:$AZ40))*$F$65,0)</f>
        <v/>
      </c>
      <c r="BB41" s="411">
        <f>SUM(AT41:AY41)</f>
        <v/>
      </c>
      <c r="BC41" s="353">
        <f>AS41-BB41</f>
        <v/>
      </c>
      <c r="BD41" s="415">
        <f>BC41*$BF41</f>
        <v/>
      </c>
      <c r="BE41" s="393" t="n"/>
      <c r="BF41" s="46">
        <f>BF40/(1+$O$22)</f>
        <v/>
      </c>
      <c r="BH41" s="414">
        <f>AT41</f>
        <v/>
      </c>
      <c r="BI41" s="414">
        <f>AU41</f>
        <v/>
      </c>
      <c r="BJ41" s="353">
        <f>AV41</f>
        <v/>
      </c>
      <c r="BK41" s="353">
        <f>AW41</f>
        <v/>
      </c>
      <c r="BL41" s="353">
        <f>AY41</f>
        <v/>
      </c>
      <c r="BM41" s="353">
        <f>IF($W41&gt;$F$16,$F$56,0)</f>
        <v/>
      </c>
      <c r="BN41" s="415">
        <f>SUM(BH41:BM41)</f>
        <v/>
      </c>
      <c r="BO41" s="353">
        <f>IF($W41=$F$16,$P$32,0)</f>
        <v/>
      </c>
      <c r="BP41" s="353">
        <f>IF(AND(W41&gt;$F$16,W41&lt;=SUM($F$16:$F$17)),$P$41,0)</f>
        <v/>
      </c>
      <c r="BQ41" s="353">
        <f>IFERROR(-IPMT($P$67,W41-$F$16,$F$17,SUM(P$31,P$51)),0)</f>
        <v/>
      </c>
      <c r="BR41" s="353">
        <f>IF($W41&lt;=$O$16,$F$105,0)</f>
        <v/>
      </c>
      <c r="BS41" s="353">
        <f>IF($W41=1,SUM($O$103,$O$105),0)</f>
        <v/>
      </c>
      <c r="BT41" s="353">
        <f>IF($W41&lt;$O$16,IF(W41=$F$16,$P$94,$P$95),0)</f>
        <v/>
      </c>
      <c r="BU41" s="415">
        <f>SUM(BO41:BP41,BR41:BT41)</f>
        <v/>
      </c>
      <c r="BV41" s="415">
        <f>BN41-BU41</f>
        <v/>
      </c>
      <c r="BW41" s="337" t="n"/>
      <c r="BX41" s="338">
        <f>IFERROR(-PPMT($P$67,$W41-$F$16,$F$17,SUM(P$31,P$51)),0)</f>
        <v/>
      </c>
      <c r="BY41" s="356">
        <f>IF(BV41-BX41&gt;=0,0,1)</f>
        <v/>
      </c>
      <c r="CA41" s="0" t="n"/>
    </row>
    <row r="42" ht="15.75" customHeight="1" s="302">
      <c r="C42" s="2" t="inlineStr">
        <is>
          <t>うち、予定価格を反映</t>
        </is>
      </c>
      <c r="D42" s="0" t="inlineStr">
        <is>
          <t>百万円</t>
        </is>
      </c>
      <c r="F42" s="359">
        <f>事業費用概算!G28</f>
        <v/>
      </c>
      <c r="K42" s="0" t="inlineStr">
        <is>
          <t>利用料金収入</t>
        </is>
      </c>
      <c r="N42" s="19" t="inlineStr">
        <is>
          <t>百万円</t>
        </is>
      </c>
      <c r="O42" s="362" t="n"/>
      <c r="P42" s="365">
        <f>F56</f>
        <v/>
      </c>
      <c r="Q42" s="0" t="inlineStr">
        <is>
          <t>サービス購入費から控除</t>
        </is>
      </c>
      <c r="V42" s="58">
        <f>IF(W42=1,DATE(YEAR($F$18)+(MONTH($F$18)&gt;=4),4,0),EOMONTH(V41,12))</f>
        <v/>
      </c>
      <c r="W42" s="26" t="n">
        <v>26</v>
      </c>
      <c r="X42" s="282">
        <f>IF(W42&gt;$O$16,"-",IF($W42&lt;=$F$16,"整備期間","維持管理・運営期間"))</f>
        <v/>
      </c>
      <c r="Y42" s="410">
        <f>IF($W42=$F$16,$O$61,0)</f>
        <v/>
      </c>
      <c r="Z42" s="396">
        <f>IF($W42=$F$16,$O$63,0)</f>
        <v/>
      </c>
      <c r="AA42" s="396">
        <f>IF($W42=$F$16,$O$62,0)</f>
        <v/>
      </c>
      <c r="AB42" s="396">
        <f>IF(X42="維持管理・運営期間",$F$56,0)</f>
        <v/>
      </c>
      <c r="AC42" s="411">
        <f>SUM(Y42:Z42,AB42)</f>
        <v/>
      </c>
      <c r="AD42" s="410">
        <f>IF($W42=$F$16,$O$30,0)</f>
        <v/>
      </c>
      <c r="AE42" s="396">
        <f>IF($X42="維持管理・運営期間",$O$41,0)</f>
        <v/>
      </c>
      <c r="AF42" s="396">
        <f>IF(AND($W42&gt;0,$W42&lt;=$O$16),$E$45,0)</f>
        <v/>
      </c>
      <c r="AG42" s="396">
        <f>IF(AND(SUM($AA$16:AA41)&gt;0,SUM($AG$16:AG41)&lt;$O$62,$W42&gt;=$O$65),$O$64,0)</f>
        <v/>
      </c>
      <c r="AH42" s="353">
        <f>IF(SUM($AA$17:$AA41)&gt;0,($O$62-SUM($AG$17:$AG41))*$E$65,0)</f>
        <v/>
      </c>
      <c r="AI42" s="411">
        <f>SUM(AD42:AF42)</f>
        <v/>
      </c>
      <c r="AJ42" s="353">
        <f>AC42-AI42</f>
        <v/>
      </c>
      <c r="AK42" s="405">
        <f>(SUM($P$31,$P$51)-SUM($AU$17:AU41))*$O$109</f>
        <v/>
      </c>
      <c r="AL42" s="413" t="n"/>
      <c r="AM42" s="415">
        <f>AJ42*$BF42</f>
        <v/>
      </c>
      <c r="AN42" s="349" t="n"/>
      <c r="AO42" s="414">
        <f>IF($W42=$F$16,$P$61,0)</f>
        <v/>
      </c>
      <c r="AP42" s="353">
        <f>IF($W42=$F$16,$P$63,0)</f>
        <v/>
      </c>
      <c r="AQ42" s="353">
        <f>IF($W42=$F$16,$P$62,0)</f>
        <v/>
      </c>
      <c r="AR42" s="396">
        <f>IF($W42&lt;$O$16,IF(W42=$F$16,$U$93,$U$94),0)</f>
        <v/>
      </c>
      <c r="AS42" s="411">
        <f>SUM(AO42:AP42,AR42)</f>
        <v/>
      </c>
      <c r="AT42" s="396">
        <f>IF(W42=$F$16,$P$30,0)</f>
        <v/>
      </c>
      <c r="AU42" s="396">
        <f>IFERROR(-PPMT($P$36,W42-$F$16,$F$17,SUM(P$31,P$51)),0)</f>
        <v/>
      </c>
      <c r="AV42" s="396">
        <f>IFERROR(-IPMT($P$36,W42-$F$16,$F$17,SUM($P$31,$P$51)),0)</f>
        <v/>
      </c>
      <c r="AW42" s="396">
        <f>IF(AND(W42&gt;$F$16,W42&lt;=SUM($F$16:$F$17)),$P$43,0)</f>
        <v/>
      </c>
      <c r="AX42" s="396">
        <f>IF($W42=1,$F$44,0)+IF(AND($W42&gt;0,$W42&lt;=$O$16),$F$45,0)</f>
        <v/>
      </c>
      <c r="AY42" s="396">
        <f>IF(AND(W42&gt;$F$16,W42&lt;=SUM($F$16:$F$17)),$P$54,0)</f>
        <v/>
      </c>
      <c r="AZ42" s="396">
        <f>IF(AND(SUM($AQ$16:AQ41)&gt;0,SUM($AZ$16:AZ41)&lt;$P$62,$W42&gt;=$P$65),$P$64,0)</f>
        <v/>
      </c>
      <c r="BA42" s="396">
        <f>IF(SUM($AQ$17:$AQ41)&gt;0,($P$62-SUM($AZ$17:$AZ41))*$F$65,0)</f>
        <v/>
      </c>
      <c r="BB42" s="411">
        <f>SUM(AT42:AY42)</f>
        <v/>
      </c>
      <c r="BC42" s="353">
        <f>AS42-BB42</f>
        <v/>
      </c>
      <c r="BD42" s="415">
        <f>BC42*$BF42</f>
        <v/>
      </c>
      <c r="BE42" s="393" t="n"/>
      <c r="BF42" s="46">
        <f>BF41/(1+$O$22)</f>
        <v/>
      </c>
      <c r="BH42" s="414">
        <f>AT42</f>
        <v/>
      </c>
      <c r="BI42" s="414">
        <f>AU42</f>
        <v/>
      </c>
      <c r="BJ42" s="353">
        <f>AV42</f>
        <v/>
      </c>
      <c r="BK42" s="353">
        <f>AW42</f>
        <v/>
      </c>
      <c r="BL42" s="353">
        <f>AY42</f>
        <v/>
      </c>
      <c r="BM42" s="353">
        <f>IF($W42&gt;$F$16,$F$56,0)</f>
        <v/>
      </c>
      <c r="BN42" s="415">
        <f>SUM(BH42:BM42)</f>
        <v/>
      </c>
      <c r="BO42" s="353">
        <f>IF($W42=$F$16,$P$32,0)</f>
        <v/>
      </c>
      <c r="BP42" s="353">
        <f>IF(AND(W42&gt;$F$16,W42&lt;=SUM($F$16:$F$17)),$P$41,0)</f>
        <v/>
      </c>
      <c r="BQ42" s="353">
        <f>IFERROR(-IPMT($P$67,W42-$F$16,$F$17,SUM(P$31,P$51)),0)</f>
        <v/>
      </c>
      <c r="BR42" s="353">
        <f>IF($W42&lt;=$O$16,$F$105,0)</f>
        <v/>
      </c>
      <c r="BS42" s="353">
        <f>IF($W42=1,SUM($O$103,$O$105),0)</f>
        <v/>
      </c>
      <c r="BT42" s="353">
        <f>IF($W42&lt;$O$16,IF(W42=$F$16,$P$94,$P$95),0)</f>
        <v/>
      </c>
      <c r="BU42" s="415">
        <f>SUM(BO42:BP42,BR42:BT42)</f>
        <v/>
      </c>
      <c r="BV42" s="415">
        <f>BN42-BU42</f>
        <v/>
      </c>
      <c r="BW42" s="337" t="n"/>
      <c r="BX42" s="338">
        <f>IFERROR(-PPMT($P$67,$W42-$F$16,$F$17,SUM(P$31,P$51)),0)</f>
        <v/>
      </c>
      <c r="BY42" s="356">
        <f>IF(BV42-BX42&gt;=0,0,1)</f>
        <v/>
      </c>
      <c r="CA42" s="0" t="n"/>
    </row>
    <row r="43" ht="15.75" customHeight="1" s="302">
      <c r="B43" s="0" t="inlineStr">
        <is>
          <t>2.4その他公共側費用</t>
        </is>
      </c>
      <c r="E43" s="19" t="inlineStr">
        <is>
          <t>PSC</t>
        </is>
      </c>
      <c r="F43" s="19" t="inlineStr">
        <is>
          <t>PFI-LCC</t>
        </is>
      </c>
      <c r="K43" s="0" t="inlineStr">
        <is>
          <t>利用料金収入考慮後の維持管理運営に係るサービス購入費</t>
        </is>
      </c>
      <c r="N43" s="19" t="inlineStr">
        <is>
          <t>百万円</t>
        </is>
      </c>
      <c r="O43" s="365">
        <f>O41-O42</f>
        <v/>
      </c>
      <c r="P43" s="365">
        <f>P41-P42</f>
        <v/>
      </c>
      <c r="V43" s="58">
        <f>IF(W43=1,DATE(YEAR($F$18)+(MONTH($F$18)&gt;=4),4,0),EOMONTH(V42,12))</f>
        <v/>
      </c>
      <c r="W43" s="26" t="n">
        <v>27</v>
      </c>
      <c r="X43" s="282">
        <f>IF(W43&gt;$O$16,"-",IF($W43&lt;=$F$16,"整備期間","維持管理・運営期間"))</f>
        <v/>
      </c>
      <c r="Y43" s="410">
        <f>IF($W43=$F$16,$O$61,0)</f>
        <v/>
      </c>
      <c r="Z43" s="396">
        <f>IF($W43=$F$16,$O$63,0)</f>
        <v/>
      </c>
      <c r="AA43" s="396">
        <f>IF($W43=$F$16,$O$62,0)</f>
        <v/>
      </c>
      <c r="AB43" s="396">
        <f>IF(X43="維持管理・運営期間",$F$56,0)</f>
        <v/>
      </c>
      <c r="AC43" s="411">
        <f>SUM(Y43:Z43,AB43)</f>
        <v/>
      </c>
      <c r="AD43" s="410">
        <f>IF($W43=$F$16,$O$30,0)</f>
        <v/>
      </c>
      <c r="AE43" s="396">
        <f>IF($X43="維持管理・運営期間",$O$41,0)</f>
        <v/>
      </c>
      <c r="AF43" s="396">
        <f>IF(AND($W43&gt;0,$W43&lt;=$O$16),$E$45,0)</f>
        <v/>
      </c>
      <c r="AG43" s="396">
        <f>IF(AND(SUM($AA$16:AA42)&gt;0,SUM($AG$16:AG42)&lt;$O$62,$W43&gt;=$O$65),$O$64,0)</f>
        <v/>
      </c>
      <c r="AH43" s="353">
        <f>IF(SUM($AA$17:$AA42)&gt;0,($O$62-SUM($AG$17:$AG42))*$E$65,0)</f>
        <v/>
      </c>
      <c r="AI43" s="411">
        <f>SUM(AD43:AF43)</f>
        <v/>
      </c>
      <c r="AJ43" s="353">
        <f>AC43-AI43</f>
        <v/>
      </c>
      <c r="AK43" s="405">
        <f>(SUM($P$31,$P$51)-SUM($AU$17:AU42))*$O$109</f>
        <v/>
      </c>
      <c r="AL43" s="413" t="n"/>
      <c r="AM43" s="415">
        <f>AJ43*$BF43</f>
        <v/>
      </c>
      <c r="AN43" s="349" t="n"/>
      <c r="AO43" s="414">
        <f>IF($W43=$F$16,$P$61,0)</f>
        <v/>
      </c>
      <c r="AP43" s="353">
        <f>IF($W43=$F$16,$P$63,0)</f>
        <v/>
      </c>
      <c r="AQ43" s="353">
        <f>IF($W43=$F$16,$P$62,0)</f>
        <v/>
      </c>
      <c r="AR43" s="396">
        <f>IF($W43&lt;$O$16,IF(W43=$F$16,$U$93,$U$94),0)</f>
        <v/>
      </c>
      <c r="AS43" s="411">
        <f>SUM(AO43:AP43,AR43)</f>
        <v/>
      </c>
      <c r="AT43" s="396">
        <f>IF(W43=$F$16,$P$30,0)</f>
        <v/>
      </c>
      <c r="AU43" s="396">
        <f>IFERROR(-PPMT($P$36,W43-$F$16,$F$17,SUM(P$31,P$51)),0)</f>
        <v/>
      </c>
      <c r="AV43" s="396">
        <f>IFERROR(-IPMT($P$36,W43-$F$16,$F$17,SUM($P$31,$P$51)),0)</f>
        <v/>
      </c>
      <c r="AW43" s="396">
        <f>IF(AND(W43&gt;$F$16,W43&lt;=SUM($F$16:$F$17)),$P$43,0)</f>
        <v/>
      </c>
      <c r="AX43" s="396">
        <f>IF($W43=1,$F$44,0)+IF(AND($W43&gt;0,$W43&lt;=$O$16),$F$45,0)</f>
        <v/>
      </c>
      <c r="AY43" s="396">
        <f>IF(AND(W43&gt;$F$16,W43&lt;=SUM($F$16:$F$17)),$P$54,0)</f>
        <v/>
      </c>
      <c r="AZ43" s="396">
        <f>IF(AND(SUM($AQ$16:AQ42)&gt;0,SUM($AZ$16:AZ42)&lt;$P$62,$W43&gt;=$P$65),$P$64,0)</f>
        <v/>
      </c>
      <c r="BA43" s="396">
        <f>IF(SUM($AQ$17:$AQ42)&gt;0,($P$62-SUM($AZ$17:$AZ42))*$F$65,0)</f>
        <v/>
      </c>
      <c r="BB43" s="411">
        <f>SUM(AT43:AY43)</f>
        <v/>
      </c>
      <c r="BC43" s="353">
        <f>AS43-BB43</f>
        <v/>
      </c>
      <c r="BD43" s="415">
        <f>BC43*$BF43</f>
        <v/>
      </c>
      <c r="BE43" s="393" t="n"/>
      <c r="BF43" s="46">
        <f>BF42/(1+$O$22)</f>
        <v/>
      </c>
      <c r="BH43" s="414">
        <f>AT43</f>
        <v/>
      </c>
      <c r="BI43" s="414">
        <f>AU43</f>
        <v/>
      </c>
      <c r="BJ43" s="353">
        <f>AV43</f>
        <v/>
      </c>
      <c r="BK43" s="353">
        <f>AW43</f>
        <v/>
      </c>
      <c r="BL43" s="353">
        <f>AY43</f>
        <v/>
      </c>
      <c r="BM43" s="353">
        <f>IF($W43&gt;$F$16,$F$56,0)</f>
        <v/>
      </c>
      <c r="BN43" s="415">
        <f>SUM(BH43:BM43)</f>
        <v/>
      </c>
      <c r="BO43" s="353">
        <f>IF($W43=$F$16,$P$32,0)</f>
        <v/>
      </c>
      <c r="BP43" s="353">
        <f>IF(AND(W43&gt;$F$16,W43&lt;=SUM($F$16:$F$17)),$P$41,0)</f>
        <v/>
      </c>
      <c r="BQ43" s="353">
        <f>IFERROR(-IPMT($P$67,W43-$F$16,$F$17,SUM(P$31,P$51)),0)</f>
        <v/>
      </c>
      <c r="BR43" s="353">
        <f>IF($W43&lt;=$O$16,$F$105,0)</f>
        <v/>
      </c>
      <c r="BS43" s="353">
        <f>IF($W43=1,SUM($O$103,$O$105),0)</f>
        <v/>
      </c>
      <c r="BT43" s="353">
        <f>IF($W43&lt;$O$16,IF(W43=$F$16,$P$94,$P$95),0)</f>
        <v/>
      </c>
      <c r="BU43" s="415">
        <f>SUM(BO43:BP43,BR43:BT43)</f>
        <v/>
      </c>
      <c r="BV43" s="415">
        <f>BN43-BU43</f>
        <v/>
      </c>
      <c r="BW43" s="337" t="n"/>
      <c r="BX43" s="338">
        <f>IFERROR(-PPMT($P$67,$W43-$F$16,$F$17,SUM(P$31,P$51)),0)</f>
        <v/>
      </c>
      <c r="BY43" s="356">
        <f>IF(BV43-BX43&gt;=0,0,1)</f>
        <v/>
      </c>
      <c r="CA43" s="0" t="n"/>
    </row>
    <row r="44" ht="15.75" customHeight="1" s="302">
      <c r="C44" s="275" t="inlineStr">
        <is>
          <t>当初費用（アドバイザーフィー等）</t>
        </is>
      </c>
      <c r="D44" s="0" t="inlineStr">
        <is>
          <t>百万円</t>
        </is>
      </c>
      <c r="E44" s="366" t="n"/>
      <c r="F44" s="305" t="n">
        <v>25</v>
      </c>
      <c r="K44" s="0" t="inlineStr">
        <is>
          <t>維持管理運営費用（総額）</t>
        </is>
      </c>
      <c r="N44" s="19" t="inlineStr">
        <is>
          <t>百万円</t>
        </is>
      </c>
      <c r="O44" s="364">
        <f>O41*$F$17</f>
        <v/>
      </c>
      <c r="P44" s="364">
        <f>P43*$F$17</f>
        <v/>
      </c>
      <c r="V44" s="58">
        <f>IF(W44=1,DATE(YEAR($F$18)+(MONTH($F$18)&gt;=4),4,0),EOMONTH(V43,12))</f>
        <v/>
      </c>
      <c r="W44" s="26" t="n">
        <v>28</v>
      </c>
      <c r="X44" s="282">
        <f>IF(W44&gt;$O$16,"-",IF($W44&lt;=$F$16,"整備期間","維持管理・運営期間"))</f>
        <v/>
      </c>
      <c r="Y44" s="410">
        <f>IF($W44=$F$16,$O$61,0)</f>
        <v/>
      </c>
      <c r="Z44" s="396">
        <f>IF($W44=$F$16,$O$63,0)</f>
        <v/>
      </c>
      <c r="AA44" s="396">
        <f>IF($W44=$F$16,$O$62,0)</f>
        <v/>
      </c>
      <c r="AB44" s="396">
        <f>IF(X44="維持管理・運営期間",$F$56,0)</f>
        <v/>
      </c>
      <c r="AC44" s="411">
        <f>SUM(Y44:Z44,AB44)</f>
        <v/>
      </c>
      <c r="AD44" s="410">
        <f>IF($W44=$F$16,$O$30,0)</f>
        <v/>
      </c>
      <c r="AE44" s="396">
        <f>IF($X44="維持管理・運営期間",$O$41,0)</f>
        <v/>
      </c>
      <c r="AF44" s="396">
        <f>IF(AND($W44&gt;0,$W44&lt;=$O$16),$E$45,0)</f>
        <v/>
      </c>
      <c r="AG44" s="396">
        <f>IF(AND(SUM($AA$16:AA43)&gt;0,SUM($AG$16:AG43)&lt;$O$62,$W44&gt;=$O$65),$O$64,0)</f>
        <v/>
      </c>
      <c r="AH44" s="353">
        <f>IF(SUM($AA$17:$AA43)&gt;0,($O$62-SUM($AG$17:$AG43))*$E$65,0)</f>
        <v/>
      </c>
      <c r="AI44" s="411">
        <f>SUM(AD44:AF44)</f>
        <v/>
      </c>
      <c r="AJ44" s="353">
        <f>AC44-AI44</f>
        <v/>
      </c>
      <c r="AK44" s="405">
        <f>(SUM($P$31,$P$51)-SUM($AU$17:AU43))*$O$109</f>
        <v/>
      </c>
      <c r="AL44" s="413" t="n"/>
      <c r="AM44" s="415">
        <f>AJ44*$BF44</f>
        <v/>
      </c>
      <c r="AN44" s="349" t="n"/>
      <c r="AO44" s="414">
        <f>IF($W44=$F$16,$P$61,0)</f>
        <v/>
      </c>
      <c r="AP44" s="353">
        <f>IF($W44=$F$16,$P$63,0)</f>
        <v/>
      </c>
      <c r="AQ44" s="353">
        <f>IF($W44=$F$16,$P$62,0)</f>
        <v/>
      </c>
      <c r="AR44" s="396">
        <f>IF($W44&lt;$O$16,IF(W44=$F$16,$U$93,$U$94),0)</f>
        <v/>
      </c>
      <c r="AS44" s="411">
        <f>SUM(AO44:AP44,AR44)</f>
        <v/>
      </c>
      <c r="AT44" s="396">
        <f>IF(W44=$F$16,$P$30,0)</f>
        <v/>
      </c>
      <c r="AU44" s="396">
        <f>IFERROR(-PPMT($P$36,W44-$F$16,$F$17,SUM(P$31,P$51)),0)</f>
        <v/>
      </c>
      <c r="AV44" s="396">
        <f>IFERROR(-IPMT($P$36,W44-$F$16,$F$17,SUM($P$31,$P$51)),0)</f>
        <v/>
      </c>
      <c r="AW44" s="396">
        <f>IF(AND(W44&gt;$F$16,W44&lt;=SUM($F$16:$F$17)),$P$43,0)</f>
        <v/>
      </c>
      <c r="AX44" s="396">
        <f>IF($W44=1,$F$44,0)+IF(AND($W44&gt;0,$W44&lt;=$O$16),$F$45,0)</f>
        <v/>
      </c>
      <c r="AY44" s="396">
        <f>IF(AND(W44&gt;$F$16,W44&lt;=SUM($F$16:$F$17)),$P$54,0)</f>
        <v/>
      </c>
      <c r="AZ44" s="396">
        <f>IF(AND(SUM($AQ$16:AQ43)&gt;0,SUM($AZ$16:AZ43)&lt;$P$62,$W44&gt;=$P$65),$P$64,0)</f>
        <v/>
      </c>
      <c r="BA44" s="396">
        <f>IF(SUM($AQ$17:$AQ43)&gt;0,($P$62-SUM($AZ$17:$AZ43))*$F$65,0)</f>
        <v/>
      </c>
      <c r="BB44" s="411">
        <f>SUM(AT44:AY44)</f>
        <v/>
      </c>
      <c r="BC44" s="353">
        <f>AS44-BB44</f>
        <v/>
      </c>
      <c r="BD44" s="415">
        <f>BC44*$BF44</f>
        <v/>
      </c>
      <c r="BE44" s="393" t="n"/>
      <c r="BF44" s="46">
        <f>BF43/(1+$O$22)</f>
        <v/>
      </c>
      <c r="BH44" s="414">
        <f>AT44</f>
        <v/>
      </c>
      <c r="BI44" s="414">
        <f>AU44</f>
        <v/>
      </c>
      <c r="BJ44" s="353">
        <f>AV44</f>
        <v/>
      </c>
      <c r="BK44" s="353">
        <f>AW44</f>
        <v/>
      </c>
      <c r="BL44" s="353">
        <f>AY44</f>
        <v/>
      </c>
      <c r="BM44" s="353">
        <f>IF($W44&gt;$F$16,$F$56,0)</f>
        <v/>
      </c>
      <c r="BN44" s="415">
        <f>SUM(BH44:BM44)</f>
        <v/>
      </c>
      <c r="BO44" s="353">
        <f>IF($W44=$F$16,$P$32,0)</f>
        <v/>
      </c>
      <c r="BP44" s="353">
        <f>IF(AND(W44&gt;$F$16,W44&lt;=SUM($F$16:$F$17)),$P$41,0)</f>
        <v/>
      </c>
      <c r="BQ44" s="353">
        <f>IFERROR(-IPMT($P$67,W44-$F$16,$F$17,SUM(P$31,P$51)),0)</f>
        <v/>
      </c>
      <c r="BR44" s="353">
        <f>IF($W44&lt;=$O$16,$F$105,0)</f>
        <v/>
      </c>
      <c r="BS44" s="353">
        <f>IF($W44=1,SUM($O$103,$O$105),0)</f>
        <v/>
      </c>
      <c r="BT44" s="353">
        <f>IF($W44&lt;$O$16,IF(W44=$F$16,$P$94,$P$95),0)</f>
        <v/>
      </c>
      <c r="BU44" s="415">
        <f>SUM(BO44:BP44,BR44:BT44)</f>
        <v/>
      </c>
      <c r="BV44" s="415">
        <f>BN44-BU44</f>
        <v/>
      </c>
      <c r="BW44" s="337" t="n"/>
      <c r="BX44" s="338">
        <f>IFERROR(-PPMT($P$67,$W44-$F$16,$F$17,SUM(P$31,P$51)),0)</f>
        <v/>
      </c>
      <c r="BY44" s="356">
        <f>IF(BV44-BX44&gt;=0,0,1)</f>
        <v/>
      </c>
      <c r="CA44" s="0" t="n"/>
    </row>
    <row r="45" ht="15.75" customHeight="1" s="302">
      <c r="C45" s="0" t="inlineStr">
        <is>
          <t>期中費用（モニタリングコスト）</t>
        </is>
      </c>
      <c r="D45" s="0" t="inlineStr">
        <is>
          <t>百万円</t>
        </is>
      </c>
      <c r="E45" s="305" t="n">
        <v>10</v>
      </c>
      <c r="F45" s="305" t="n">
        <v>6</v>
      </c>
      <c r="V45" s="58">
        <f>IF(W45=1,DATE(YEAR($F$18)+(MONTH($F$18)&gt;=4),4,0),EOMONTH(V44,12))</f>
        <v/>
      </c>
      <c r="W45" s="26" t="n">
        <v>29</v>
      </c>
      <c r="X45" s="282">
        <f>IF(W45&gt;$O$16,"-",IF($W45&lt;=$F$16,"整備期間","維持管理・運営期間"))</f>
        <v/>
      </c>
      <c r="Y45" s="410">
        <f>IF($W45=$F$16,$O$61,0)</f>
        <v/>
      </c>
      <c r="Z45" s="396">
        <f>IF($W45=$F$16,$O$63,0)</f>
        <v/>
      </c>
      <c r="AA45" s="396">
        <f>IF($W45=$F$16,$O$62,0)</f>
        <v/>
      </c>
      <c r="AB45" s="396">
        <f>IF(X45="維持管理・運営期間",$F$56,0)</f>
        <v/>
      </c>
      <c r="AC45" s="411">
        <f>SUM(Y45:Z45,AB45)</f>
        <v/>
      </c>
      <c r="AD45" s="410">
        <f>IF($W45=$F$16,$O$30,0)</f>
        <v/>
      </c>
      <c r="AE45" s="396">
        <f>IF($X45="維持管理・運営期間",$O$41,0)</f>
        <v/>
      </c>
      <c r="AF45" s="396">
        <f>IF(AND($W45&gt;0,$W45&lt;=$O$16),$E$45,0)</f>
        <v/>
      </c>
      <c r="AG45" s="396">
        <f>IF(AND(SUM($AA$16:AA44)&gt;0,SUM($AG$16:AG44)&lt;$O$62,$W45&gt;=$O$65),$O$64,0)</f>
        <v/>
      </c>
      <c r="AH45" s="353">
        <f>IF(SUM($AA$17:$AA44)&gt;0,($O$62-SUM($AG$17:$AG44))*$E$65,0)</f>
        <v/>
      </c>
      <c r="AI45" s="411">
        <f>SUM(AD45:AF45)</f>
        <v/>
      </c>
      <c r="AJ45" s="353">
        <f>AC45-AI45</f>
        <v/>
      </c>
      <c r="AK45" s="405">
        <f>(SUM($P$31,$P$51)-SUM($AU$17:AU44))*$O$109</f>
        <v/>
      </c>
      <c r="AL45" s="413" t="n"/>
      <c r="AM45" s="415">
        <f>AJ45*$BF45</f>
        <v/>
      </c>
      <c r="AN45" s="349" t="n"/>
      <c r="AO45" s="414">
        <f>IF($W45=$F$16,$P$61,0)</f>
        <v/>
      </c>
      <c r="AP45" s="353">
        <f>IF($W45=$F$16,$P$63,0)</f>
        <v/>
      </c>
      <c r="AQ45" s="353">
        <f>IF($W45=$F$16,$P$62,0)</f>
        <v/>
      </c>
      <c r="AR45" s="396">
        <f>IF($W45&lt;$O$16,IF(W45=$F$16,$U$93,$U$94),0)</f>
        <v/>
      </c>
      <c r="AS45" s="411">
        <f>SUM(AO45:AP45,AR45)</f>
        <v/>
      </c>
      <c r="AT45" s="396">
        <f>IF(W45=$F$16,$P$30,0)</f>
        <v/>
      </c>
      <c r="AU45" s="396">
        <f>IFERROR(-PPMT($P$36,W45-$F$16,$F$17,SUM(P$31,P$51)),0)</f>
        <v/>
      </c>
      <c r="AV45" s="396">
        <f>IFERROR(-IPMT($P$36,W45-$F$16,$F$17,SUM($P$31,$P$51)),0)</f>
        <v/>
      </c>
      <c r="AW45" s="396">
        <f>IF(AND(W45&gt;$F$16,W45&lt;=SUM($F$16:$F$17)),$P$43,0)</f>
        <v/>
      </c>
      <c r="AX45" s="396">
        <f>IF($W45=1,$F$44,0)+IF(AND($W45&gt;0,$W45&lt;=$O$16),$F$45,0)</f>
        <v/>
      </c>
      <c r="AY45" s="396">
        <f>IF(AND(W45&gt;$F$16,W45&lt;=SUM($F$16:$F$17)),$P$54,0)</f>
        <v/>
      </c>
      <c r="AZ45" s="396">
        <f>IF(AND(SUM($AQ$16:AQ44)&gt;0,SUM($AZ$16:AZ44)&lt;$P$62,$W45&gt;=$P$65),$P$64,0)</f>
        <v/>
      </c>
      <c r="BA45" s="396">
        <f>IF(SUM($AQ$17:$AQ44)&gt;0,($P$62-SUM($AZ$17:$AZ44))*$F$65,0)</f>
        <v/>
      </c>
      <c r="BB45" s="411">
        <f>SUM(AT45:AY45)</f>
        <v/>
      </c>
      <c r="BC45" s="353">
        <f>AS45-BB45</f>
        <v/>
      </c>
      <c r="BD45" s="415">
        <f>BC45*$BF45</f>
        <v/>
      </c>
      <c r="BE45" s="393" t="n"/>
      <c r="BF45" s="46">
        <f>BF44/(1+$O$22)</f>
        <v/>
      </c>
      <c r="BH45" s="414">
        <f>AT45</f>
        <v/>
      </c>
      <c r="BI45" s="414">
        <f>AU45</f>
        <v/>
      </c>
      <c r="BJ45" s="353">
        <f>AV45</f>
        <v/>
      </c>
      <c r="BK45" s="353">
        <f>AW45</f>
        <v/>
      </c>
      <c r="BL45" s="353">
        <f>AY45</f>
        <v/>
      </c>
      <c r="BM45" s="353">
        <f>IF($W45&gt;$F$16,$F$56,0)</f>
        <v/>
      </c>
      <c r="BN45" s="415">
        <f>SUM(BH45:BM45)</f>
        <v/>
      </c>
      <c r="BO45" s="353">
        <f>IF($W45=$F$16,$P$32,0)</f>
        <v/>
      </c>
      <c r="BP45" s="353">
        <f>IF(AND(W45&gt;$F$16,W45&lt;=SUM($F$16:$F$17)),$P$41,0)</f>
        <v/>
      </c>
      <c r="BQ45" s="353">
        <f>IFERROR(-IPMT($P$67,W45-$F$16,$F$17,SUM(P$31,P$51)),0)</f>
        <v/>
      </c>
      <c r="BR45" s="353">
        <f>IF($W45&lt;=$O$16,$F$105,0)</f>
        <v/>
      </c>
      <c r="BS45" s="353">
        <f>IF($W45=1,SUM($O$103,$O$105),0)</f>
        <v/>
      </c>
      <c r="BT45" s="353">
        <f>IF($W45&lt;$O$16,IF(W45=$F$16,$P$94,$P$95),0)</f>
        <v/>
      </c>
      <c r="BU45" s="415">
        <f>SUM(BO45:BP45,BR45:BT45)</f>
        <v/>
      </c>
      <c r="BV45" s="415">
        <f>BN45-BU45</f>
        <v/>
      </c>
      <c r="BW45" s="337" t="n"/>
      <c r="BX45" s="338">
        <f>IFERROR(-PPMT($P$67,$W45-$F$16,$F$17,SUM(P$31,P$51)),0)</f>
        <v/>
      </c>
      <c r="BY45" s="356">
        <f>IF(BV45-BX45&gt;=0,0,1)</f>
        <v/>
      </c>
      <c r="CA45" s="0" t="n"/>
    </row>
    <row r="46" ht="15.75" customHeight="1" s="302">
      <c r="B46" s="0" t="inlineStr">
        <is>
          <t>2.5 SPC費用、税金等の取扱い</t>
        </is>
      </c>
      <c r="J46" s="4" t="inlineStr">
        <is>
          <t>2.5 SPC費用、税金等の取扱い</t>
        </is>
      </c>
      <c r="V46" s="58">
        <f>IF(W46=1,DATE(YEAR($F$18)+(MONTH($F$18)&gt;=4),4,0),EOMONTH(V45,12))</f>
        <v/>
      </c>
      <c r="W46" s="26" t="n">
        <v>30</v>
      </c>
      <c r="X46" s="282">
        <f>IF(W46&gt;$O$16,"-",IF($W46&lt;=$F$16,"整備期間","維持管理・運営期間"))</f>
        <v/>
      </c>
      <c r="Y46" s="410">
        <f>IF($W46=$F$16,$O$61,0)</f>
        <v/>
      </c>
      <c r="Z46" s="396">
        <f>IF($W46=$F$16,$O$63,0)</f>
        <v/>
      </c>
      <c r="AA46" s="396">
        <f>IF($W46=$F$16,$O$62,0)</f>
        <v/>
      </c>
      <c r="AB46" s="396">
        <f>IF(X46="維持管理・運営期間",$F$56,0)</f>
        <v/>
      </c>
      <c r="AC46" s="411">
        <f>SUM(Y46:Z46,AB46)</f>
        <v/>
      </c>
      <c r="AD46" s="410">
        <f>IF($W46=$F$16,$O$30,0)</f>
        <v/>
      </c>
      <c r="AE46" s="396">
        <f>IF($X46="維持管理・運営期間",$O$41,0)</f>
        <v/>
      </c>
      <c r="AF46" s="396">
        <f>IF(AND($W46&gt;0,$W46&lt;=$O$16),$E$45,0)</f>
        <v/>
      </c>
      <c r="AG46" s="396">
        <f>IF(AND(SUM($AA$16:AA45)&gt;0,SUM($AG$16:AG45)&lt;$O$62,$W46&gt;=$O$65),$O$64,0)</f>
        <v/>
      </c>
      <c r="AH46" s="353">
        <f>IF(SUM($AA$17:$AA45)&gt;0,($O$62-SUM($AG$17:$AG45))*$E$65,0)</f>
        <v/>
      </c>
      <c r="AI46" s="411">
        <f>SUM(AD46:AF46)</f>
        <v/>
      </c>
      <c r="AJ46" s="353">
        <f>AC46-AI46</f>
        <v/>
      </c>
      <c r="AK46" s="405">
        <f>(SUM($P$31,$P$51)-SUM($AU$17:AU45))*$O$109</f>
        <v/>
      </c>
      <c r="AL46" s="413" t="n"/>
      <c r="AM46" s="415">
        <f>AJ46*$BF46</f>
        <v/>
      </c>
      <c r="AN46" s="349" t="n"/>
      <c r="AO46" s="414">
        <f>IF($W46=$F$16,$P$61,0)</f>
        <v/>
      </c>
      <c r="AP46" s="353">
        <f>IF($W46=$F$16,$P$63,0)</f>
        <v/>
      </c>
      <c r="AQ46" s="353">
        <f>IF($W46=$F$16,$P$62,0)</f>
        <v/>
      </c>
      <c r="AR46" s="396">
        <f>IF($W46&lt;$O$16,IF(W46=$F$16,$U$93,$U$94),0)</f>
        <v/>
      </c>
      <c r="AS46" s="411">
        <f>SUM(AO46:AP46,AR46)</f>
        <v/>
      </c>
      <c r="AT46" s="396">
        <f>IF(W46=$F$16,$P$30,0)</f>
        <v/>
      </c>
      <c r="AU46" s="396">
        <f>IFERROR(-PPMT($P$36,W46-$F$16,$F$17,SUM(P$31,P$51)),0)</f>
        <v/>
      </c>
      <c r="AV46" s="396">
        <f>IFERROR(-IPMT($P$36,W46-$F$16,$F$17,SUM($P$31,$P$51)),0)</f>
        <v/>
      </c>
      <c r="AW46" s="396">
        <f>IF(AND(W46&gt;$F$16,W46&lt;=SUM($F$16:$F$17)),$P$43,0)</f>
        <v/>
      </c>
      <c r="AX46" s="396">
        <f>IF($W46=1,$F$44,0)+IF(AND($W46&gt;0,$W46&lt;=$O$16),$F$45,0)</f>
        <v/>
      </c>
      <c r="AY46" s="396">
        <f>IF(AND(W46&gt;$F$16,W46&lt;=SUM($F$16:$F$17)),$P$54,0)</f>
        <v/>
      </c>
      <c r="AZ46" s="396">
        <f>IF(AND(SUM($AQ$16:AQ45)&gt;0,SUM($AZ$16:AZ45)&lt;$P$62,$W46&gt;=$P$65),$P$64,0)</f>
        <v/>
      </c>
      <c r="BA46" s="396">
        <f>IF(SUM($AQ$17:$AQ45)&gt;0,($P$62-SUM($AZ$17:$AZ45))*$F$65,0)</f>
        <v/>
      </c>
      <c r="BB46" s="411">
        <f>SUM(AT46:AY46)</f>
        <v/>
      </c>
      <c r="BC46" s="353">
        <f>AS46-BB46</f>
        <v/>
      </c>
      <c r="BD46" s="415">
        <f>BC46*$BF46</f>
        <v/>
      </c>
      <c r="BE46" s="393" t="n"/>
      <c r="BF46" s="47">
        <f>BF45/(1+$O$22)</f>
        <v/>
      </c>
      <c r="BH46" s="414">
        <f>AT46</f>
        <v/>
      </c>
      <c r="BI46" s="414">
        <f>AU46</f>
        <v/>
      </c>
      <c r="BJ46" s="353">
        <f>AV46</f>
        <v/>
      </c>
      <c r="BK46" s="353">
        <f>AW46</f>
        <v/>
      </c>
      <c r="BL46" s="353">
        <f>AY46</f>
        <v/>
      </c>
      <c r="BM46" s="396">
        <f>IF($W46&gt;$F$16,$F$56,0)</f>
        <v/>
      </c>
      <c r="BN46" s="411">
        <f>SUM(BH46:BM46)</f>
        <v/>
      </c>
      <c r="BO46" s="353">
        <f>IF($W46=$F$16,$P$32,0)</f>
        <v/>
      </c>
      <c r="BP46" s="353">
        <f>IF(AND(W46&gt;$F$16,W46&lt;=SUM($F$16:$F$17)),$P$41,0)</f>
        <v/>
      </c>
      <c r="BQ46" s="353">
        <f>IFERROR(-IPMT($P$67,W46-$F$16,$F$17,SUM(P$31,P$51)),0)</f>
        <v/>
      </c>
      <c r="BR46" s="353">
        <f>IF($W46&lt;=$O$16,$F$105,0)</f>
        <v/>
      </c>
      <c r="BS46" s="353">
        <f>IF($W46=1,SUM($O$103,$O$105),0)</f>
        <v/>
      </c>
      <c r="BT46" s="353">
        <f>IF($W46&lt;$O$16,IF(W46=$F$16,$P$94,$P$95),0)</f>
        <v/>
      </c>
      <c r="BU46" s="411">
        <f>SUM(BO46:BP46,BR46:BT46)</f>
        <v/>
      </c>
      <c r="BV46" s="411">
        <f>BN46-BU46</f>
        <v/>
      </c>
      <c r="BW46" s="337" t="n"/>
      <c r="BX46" s="338">
        <f>IFERROR(-PPMT($P$67,$W46-$F$16,$F$17,SUM(P$31,P$51)),0)</f>
        <v/>
      </c>
      <c r="BY46" s="356">
        <f>IF(BV46-BX46&gt;=0,0,1)</f>
        <v/>
      </c>
      <c r="CA46" s="0" t="n"/>
    </row>
    <row r="47" ht="15.75" customHeight="1" s="302">
      <c r="F47" s="367" t="n">
        <v>1</v>
      </c>
      <c r="G47" s="0" t="n">
        <v>0</v>
      </c>
      <c r="H47" s="0" t="inlineStr">
        <is>
          <t>割賦金利に含めて支払</t>
        </is>
      </c>
      <c r="K47" s="0" t="inlineStr">
        <is>
          <t>SPC費用　年額</t>
        </is>
      </c>
      <c r="O47" s="0" t="inlineStr">
        <is>
          <t>PSC</t>
        </is>
      </c>
      <c r="P47" s="0" t="inlineStr">
        <is>
          <t>PFI-LCC</t>
        </is>
      </c>
      <c r="V47" s="58">
        <f>IF(W47=1,DATE(YEAR($F$18)+(MONTH($F$18)&gt;=4),4,0),EOMONTH(V46,12))</f>
        <v/>
      </c>
      <c r="W47" s="26" t="n">
        <v>31</v>
      </c>
      <c r="X47" s="282">
        <f>IF(W47&gt;$O$16,"-",IF($W47&lt;=$F$16,"整備期間","維持管理・運営期間"))</f>
        <v/>
      </c>
      <c r="Y47" s="410">
        <f>IF($W47=$F$16,$O$61,0)</f>
        <v/>
      </c>
      <c r="Z47" s="396">
        <f>IF($W47=$F$16,$O$63,0)</f>
        <v/>
      </c>
      <c r="AA47" s="396">
        <f>IF($W47=$F$16,$O$62,0)</f>
        <v/>
      </c>
      <c r="AB47" s="396">
        <f>IF(X47="維持管理・運営期間",$F$56,0)</f>
        <v/>
      </c>
      <c r="AC47" s="411">
        <f>SUM(Y47:Z47,AB47)</f>
        <v/>
      </c>
      <c r="AD47" s="410">
        <f>IF($W47=$F$16,$O$30,0)</f>
        <v/>
      </c>
      <c r="AE47" s="396">
        <f>IF($X47="維持管理・運営期間",$O$41,0)</f>
        <v/>
      </c>
      <c r="AF47" s="396">
        <f>IF(AND($W47&gt;0,$W47&lt;=$O$16),$E$45,0)</f>
        <v/>
      </c>
      <c r="AG47" s="396">
        <f>IF(AND(SUM($AA$16:AA46)&gt;0,SUM($AG$16:AG46)&lt;$O$62,$W47&gt;=$O$65),$O$64,0)</f>
        <v/>
      </c>
      <c r="AH47" s="353">
        <f>IF(SUM($AA$17:$AA46)&gt;0,($O$62-SUM($AG$17:$AG46))*$E$65,0)</f>
        <v/>
      </c>
      <c r="AI47" s="411">
        <f>SUM(AD47:AF47)</f>
        <v/>
      </c>
      <c r="AJ47" s="353">
        <f>AC47-AI47</f>
        <v/>
      </c>
      <c r="AK47" s="405">
        <f>(SUM($P$31,$P$51)-SUM($AU$17:AU46))*$O$109</f>
        <v/>
      </c>
      <c r="AL47" s="413" t="n"/>
      <c r="AM47" s="415">
        <f>AJ47*$BF47</f>
        <v/>
      </c>
      <c r="AN47" s="349" t="n"/>
      <c r="AO47" s="414">
        <f>IF($W47=$F$16,$P$61,0)</f>
        <v/>
      </c>
      <c r="AP47" s="353">
        <f>IF($W47=$F$16,$P$63,0)</f>
        <v/>
      </c>
      <c r="AQ47" s="353">
        <f>IF($W47=$F$16,$P$62,0)</f>
        <v/>
      </c>
      <c r="AR47" s="396">
        <f>IF($W47&lt;$O$16,IF(W47=$F$16,$U$93,$U$94),0)</f>
        <v/>
      </c>
      <c r="AS47" s="411">
        <f>SUM(AO47:AP47,AR47)</f>
        <v/>
      </c>
      <c r="AT47" s="396">
        <f>IF(W47=$F$16,$P$30,0)</f>
        <v/>
      </c>
      <c r="AU47" s="396">
        <f>IFERROR(-PPMT($P$36,W47-$F$16,$F$17,SUM(P$31,P$51)),0)</f>
        <v/>
      </c>
      <c r="AV47" s="396">
        <f>IFERROR(-IPMT($P$36,W47-$F$16,$F$17,SUM($P$31,$P$51)),0)</f>
        <v/>
      </c>
      <c r="AW47" s="396">
        <f>IF(AND(W47&gt;$F$16,W47&lt;=SUM($F$16:$F$17)),$P$43,0)</f>
        <v/>
      </c>
      <c r="AX47" s="396">
        <f>IF($W47=1,$F$44,0)+IF(AND($W47&gt;0,$W47&lt;=$O$16),$F$45,0)</f>
        <v/>
      </c>
      <c r="AY47" s="396">
        <f>IF(AND(W47&gt;$F$16,W47&lt;=SUM($F$16:$F$17)),$P$54,0)</f>
        <v/>
      </c>
      <c r="AZ47" s="396">
        <f>IF(AND(SUM($AQ$16:AQ46)&gt;0,SUM($AZ$16:AZ46)&lt;$P$62,$W47&gt;=$P$65),$P$64,0)</f>
        <v/>
      </c>
      <c r="BA47" s="396">
        <f>IF(SUM($AQ$17:$AQ46)&gt;0,($P$62-SUM($AZ$17:$AZ46))*$F$65,0)</f>
        <v/>
      </c>
      <c r="BB47" s="411">
        <f>SUM(AT47:AY47)</f>
        <v/>
      </c>
      <c r="BC47" s="353">
        <f>AS47-BB47</f>
        <v/>
      </c>
      <c r="BD47" s="415">
        <f>BC47*$BF47</f>
        <v/>
      </c>
      <c r="BE47" s="393" t="n"/>
      <c r="BF47" s="47">
        <f>BF46/(1+$O$22)</f>
        <v/>
      </c>
      <c r="BH47" s="414">
        <f>AT47</f>
        <v/>
      </c>
      <c r="BI47" s="414">
        <f>AU47</f>
        <v/>
      </c>
      <c r="BJ47" s="353">
        <f>AV47</f>
        <v/>
      </c>
      <c r="BK47" s="353">
        <f>AW47</f>
        <v/>
      </c>
      <c r="BL47" s="353">
        <f>AY47</f>
        <v/>
      </c>
      <c r="BM47" s="396">
        <f>IF($W47&gt;$F$16,$F$56,0)</f>
        <v/>
      </c>
      <c r="BN47" s="411">
        <f>SUM(BH47:BM47)</f>
        <v/>
      </c>
      <c r="BO47" s="353">
        <f>IF($W47=$F$16,$P$32,0)</f>
        <v/>
      </c>
      <c r="BP47" s="353">
        <f>IF(AND(W47&gt;$F$16,W47&lt;=SUM($F$16:$F$17)),$P$41,0)</f>
        <v/>
      </c>
      <c r="BQ47" s="353">
        <f>IFERROR(-IPMT($P$67,W47-$F$16,$F$17,SUM(P$31,P$51)),0)</f>
        <v/>
      </c>
      <c r="BR47" s="353">
        <f>IF($W47&lt;=$O$16,$F$105,0)</f>
        <v/>
      </c>
      <c r="BS47" s="353">
        <f>IF($W47=1,SUM($O$103,$O$105),0)</f>
        <v/>
      </c>
      <c r="BT47" s="353">
        <f>IF($W47&lt;$O$16,IF(W47=$F$16,$P$94,$P$95),0)</f>
        <v/>
      </c>
      <c r="BU47" s="411">
        <f>SUM(BO47:BP47,BR47:BT47)</f>
        <v/>
      </c>
      <c r="BV47" s="411">
        <f>BN47-BU47</f>
        <v/>
      </c>
      <c r="BW47" s="337" t="n"/>
      <c r="BX47" s="338">
        <f>IFERROR(-PPMT($P$67,$W47-$F$16,$F$17,SUM(P$31,P$51)),0)</f>
        <v/>
      </c>
      <c r="BY47" s="356">
        <f>IF(BV47-BX47&gt;=0,0,1)</f>
        <v/>
      </c>
      <c r="CA47" s="0" t="n"/>
    </row>
    <row r="48" ht="15.75" customHeight="1" s="302">
      <c r="G48" s="0" t="n">
        <v>1</v>
      </c>
      <c r="H48" s="0" t="inlineStr">
        <is>
          <t>サービス購入費として支払</t>
        </is>
      </c>
      <c r="I48" s="19" t="n"/>
      <c r="M48" s="0" t="inlineStr">
        <is>
          <t>SPC設立費用</t>
        </is>
      </c>
      <c r="N48" s="19" t="inlineStr">
        <is>
          <t>百万円</t>
        </is>
      </c>
      <c r="O48" s="362" t="n"/>
      <c r="P48" s="360">
        <f>F104</f>
        <v/>
      </c>
      <c r="V48" s="58">
        <f>IF(W48=1,DATE(YEAR($F$18)+(MONTH($F$18)&gt;=4),4,0),EOMONTH(V47,12))</f>
        <v/>
      </c>
      <c r="W48" s="26" t="n">
        <v>32</v>
      </c>
      <c r="X48" s="282">
        <f>IF(W48&gt;$O$16,"-",IF($W48&lt;=$F$16,"整備期間","維持管理・運営期間"))</f>
        <v/>
      </c>
      <c r="Y48" s="410">
        <f>IF($W48=$F$16,$O$61,0)</f>
        <v/>
      </c>
      <c r="Z48" s="396">
        <f>IF($W48=$F$16,$O$63,0)</f>
        <v/>
      </c>
      <c r="AA48" s="396">
        <f>IF($W48=$F$16,$O$62,0)</f>
        <v/>
      </c>
      <c r="AB48" s="396">
        <f>IF(X48="維持管理・運営期間",$F$56,0)</f>
        <v/>
      </c>
      <c r="AC48" s="411">
        <f>SUM(Y48:Z48,AB48)</f>
        <v/>
      </c>
      <c r="AD48" s="410">
        <f>IF($W48=$F$16,$O$30,0)</f>
        <v/>
      </c>
      <c r="AE48" s="396">
        <f>IF($X48="維持管理・運営期間",$O$41,0)</f>
        <v/>
      </c>
      <c r="AF48" s="396">
        <f>IF(AND($W48&gt;0,$W48&lt;=$O$16),$E$45,0)</f>
        <v/>
      </c>
      <c r="AG48" s="396">
        <f>IF(AND(SUM($AA$16:AA47)&gt;0,SUM($AG$16:AG47)&lt;$O$62,$W48&gt;=$O$65),$O$64,0)</f>
        <v/>
      </c>
      <c r="AH48" s="353">
        <f>IF(SUM($AA$17:$AA47)&gt;0,($O$62-SUM($AG$17:$AG47))*$E$65,0)</f>
        <v/>
      </c>
      <c r="AI48" s="411">
        <f>SUM(AD48:AF48)</f>
        <v/>
      </c>
      <c r="AJ48" s="353">
        <f>AC48-AI48</f>
        <v/>
      </c>
      <c r="AK48" s="405">
        <f>(SUM($P$31,$P$51)-SUM($AU$17:AU47))*$O$109</f>
        <v/>
      </c>
      <c r="AL48" s="413" t="n"/>
      <c r="AM48" s="415">
        <f>AJ48*$BF48</f>
        <v/>
      </c>
      <c r="AN48" s="349" t="n"/>
      <c r="AO48" s="414">
        <f>IF($W48=$F$16,$P$61,0)</f>
        <v/>
      </c>
      <c r="AP48" s="353">
        <f>IF($W48=$F$16,$P$63,0)</f>
        <v/>
      </c>
      <c r="AQ48" s="353">
        <f>IF($W48=$F$16,$P$62,0)</f>
        <v/>
      </c>
      <c r="AR48" s="396">
        <f>IF($W48&lt;$O$16,IF(W48=$F$16,$U$93,$U$94),0)</f>
        <v/>
      </c>
      <c r="AS48" s="411">
        <f>SUM(AO48:AP48,AR48)</f>
        <v/>
      </c>
      <c r="AT48" s="396">
        <f>IF(W48=$F$16,$P$30,0)</f>
        <v/>
      </c>
      <c r="AU48" s="396">
        <f>IFERROR(-PPMT($P$36,W48-$F$16,$F$17,SUM(P$31,P$51)),0)</f>
        <v/>
      </c>
      <c r="AV48" s="396">
        <f>IFERROR(-IPMT($P$36,W48-$F$16,$F$17,SUM($P$31,$P$51)),0)</f>
        <v/>
      </c>
      <c r="AW48" s="396">
        <f>IF(AND(W48&gt;$F$16,W48&lt;=SUM($F$16:$F$17)),$P$43,0)</f>
        <v/>
      </c>
      <c r="AX48" s="396">
        <f>IF($W48=1,$F$44,0)+IF(AND($W48&gt;0,$W48&lt;=$O$16),$F$45,0)</f>
        <v/>
      </c>
      <c r="AY48" s="396">
        <f>IF(AND(W48&gt;$F$16,W48&lt;=SUM($F$16:$F$17)),$P$54,0)</f>
        <v/>
      </c>
      <c r="AZ48" s="396">
        <f>IF(AND(SUM($AQ$16:AQ47)&gt;0,SUM($AZ$16:AZ47)&lt;$P$62,$W48&gt;=$P$65),$P$64,0)</f>
        <v/>
      </c>
      <c r="BA48" s="396">
        <f>IF(SUM($AQ$17:$AQ47)&gt;0,($P$62-SUM($AZ$17:$AZ47))*$F$65,0)</f>
        <v/>
      </c>
      <c r="BB48" s="411">
        <f>SUM(AT48:AY48)</f>
        <v/>
      </c>
      <c r="BC48" s="353">
        <f>AS48-BB48</f>
        <v/>
      </c>
      <c r="BD48" s="415">
        <f>BC48*$BF48</f>
        <v/>
      </c>
      <c r="BE48" s="393" t="n"/>
      <c r="BF48" s="47">
        <f>BF47/(1+$O$22)</f>
        <v/>
      </c>
      <c r="BH48" s="414">
        <f>AT48</f>
        <v/>
      </c>
      <c r="BI48" s="414">
        <f>AU48</f>
        <v/>
      </c>
      <c r="BJ48" s="353">
        <f>AV48</f>
        <v/>
      </c>
      <c r="BK48" s="353">
        <f>AW48</f>
        <v/>
      </c>
      <c r="BL48" s="353">
        <f>AY48</f>
        <v/>
      </c>
      <c r="BM48" s="396">
        <f>IF($W48&gt;$F$16,$F$56,0)</f>
        <v/>
      </c>
      <c r="BN48" s="411">
        <f>SUM(BH48:BM48)</f>
        <v/>
      </c>
      <c r="BO48" s="353">
        <f>IF($W48=$F$16,$P$32,0)</f>
        <v/>
      </c>
      <c r="BP48" s="353">
        <f>IF(AND(W48&gt;$F$16,W48&lt;=SUM($F$16:$F$17)),$P$41,0)</f>
        <v/>
      </c>
      <c r="BQ48" s="353">
        <f>IFERROR(-IPMT($P$67,W48-$F$16,$F$17,SUM(P$31,P$51)),0)</f>
        <v/>
      </c>
      <c r="BR48" s="353">
        <f>IF($W48&lt;=$O$16,$F$105,0)</f>
        <v/>
      </c>
      <c r="BS48" s="353">
        <f>IF($W48=1,SUM($O$103,$O$105),0)</f>
        <v/>
      </c>
      <c r="BT48" s="353">
        <f>IF($W48&lt;$O$16,IF(W48=$F$16,$P$94,$P$95),0)</f>
        <v/>
      </c>
      <c r="BU48" s="411">
        <f>SUM(BO48:BP48,BR48:BT48)</f>
        <v/>
      </c>
      <c r="BV48" s="411">
        <f>BN48-BU48</f>
        <v/>
      </c>
      <c r="BW48" s="337" t="n"/>
      <c r="BX48" s="338">
        <f>IFERROR(-PPMT($P$67,$W48-$F$16,$F$17,SUM(P$31,P$51)),0)</f>
        <v/>
      </c>
      <c r="BY48" s="356">
        <f>IF(BV48-BX48&gt;=0,0,1)</f>
        <v/>
      </c>
    </row>
    <row r="49" ht="15.75" customHeight="1" s="302">
      <c r="B49" s="93" t="inlineStr">
        <is>
          <t>2.6調整項目</t>
        </is>
      </c>
      <c r="M49" s="0" t="inlineStr">
        <is>
          <t>開業前SPC経費</t>
        </is>
      </c>
      <c r="N49" s="19" t="inlineStr">
        <is>
          <t>百万円</t>
        </is>
      </c>
      <c r="O49" s="368" t="n"/>
      <c r="P49" s="369">
        <f>F105*$F$16</f>
        <v/>
      </c>
      <c r="V49" s="58">
        <f>IF(W49=1,DATE(YEAR($F$18)+(MONTH($F$18)&gt;=4),4,0),EOMONTH(V48,12))</f>
        <v/>
      </c>
      <c r="W49" s="26" t="n">
        <v>33</v>
      </c>
      <c r="X49" s="282">
        <f>IF(W49&gt;$O$16,"-",IF($W49&lt;=$F$16,"整備期間","維持管理・運営期間"))</f>
        <v/>
      </c>
      <c r="Y49" s="410">
        <f>IF($W49=$F$16,$O$61,0)</f>
        <v/>
      </c>
      <c r="Z49" s="396">
        <f>IF($W49=$F$16,$O$63,0)</f>
        <v/>
      </c>
      <c r="AA49" s="396">
        <f>IF($W49=$F$16,$O$62,0)</f>
        <v/>
      </c>
      <c r="AB49" s="396">
        <f>IF(X49="維持管理・運営期間",$F$56,0)</f>
        <v/>
      </c>
      <c r="AC49" s="411">
        <f>SUM(Y49:Z49,AB49)</f>
        <v/>
      </c>
      <c r="AD49" s="410">
        <f>IF($W49=$F$16,$O$30,0)</f>
        <v/>
      </c>
      <c r="AE49" s="396">
        <f>IF($X49="維持管理・運営期間",$O$41,0)</f>
        <v/>
      </c>
      <c r="AF49" s="396">
        <f>IF(AND($W49&gt;0,$W49&lt;=$O$16),$E$45,0)</f>
        <v/>
      </c>
      <c r="AG49" s="396">
        <f>IF(AND(SUM($AA$16:AA48)&gt;0,SUM($AG$16:AG48)&lt;$O$62,$W49&gt;=$O$65),$O$64,0)</f>
        <v/>
      </c>
      <c r="AH49" s="353">
        <f>IF(SUM($AA$17:$AA48)&gt;0,($O$62-SUM($AG$17:$AG48))*$E$65,0)</f>
        <v/>
      </c>
      <c r="AI49" s="411">
        <f>SUM(AD49:AF49)</f>
        <v/>
      </c>
      <c r="AJ49" s="353">
        <f>AC49-AI49</f>
        <v/>
      </c>
      <c r="AK49" s="405">
        <f>(SUM($P$31,$P$51)-SUM($AU$17:AU48))*$O$109</f>
        <v/>
      </c>
      <c r="AL49" s="413" t="n"/>
      <c r="AM49" s="415">
        <f>AJ49*$BF49</f>
        <v/>
      </c>
      <c r="AN49" s="349" t="n"/>
      <c r="AO49" s="414">
        <f>IF($W49=$F$16,$P$61,0)</f>
        <v/>
      </c>
      <c r="AP49" s="353">
        <f>IF($W49=$F$16,$P$63,0)</f>
        <v/>
      </c>
      <c r="AQ49" s="353">
        <f>IF($W49=$F$16,$P$62,0)</f>
        <v/>
      </c>
      <c r="AR49" s="396">
        <f>IF($W49&lt;$O$16,IF(W49=$F$16,$U$93,$U$94),0)</f>
        <v/>
      </c>
      <c r="AS49" s="411">
        <f>SUM(AO49:AP49,AR49)</f>
        <v/>
      </c>
      <c r="AT49" s="396">
        <f>IF(W49=$F$16,$P$30,0)</f>
        <v/>
      </c>
      <c r="AU49" s="396">
        <f>IFERROR(-PPMT($P$36,W49-$F$16,$F$17,SUM(P$31,P$51)),0)</f>
        <v/>
      </c>
      <c r="AV49" s="396">
        <f>IFERROR(-IPMT($P$36,W49-$F$16,$F$17,SUM($P$31,$P$51)),0)</f>
        <v/>
      </c>
      <c r="AW49" s="396">
        <f>IF(AND(W49&gt;$F$16,W49&lt;=SUM($F$16:$F$17)),$P$43,0)</f>
        <v/>
      </c>
      <c r="AX49" s="396">
        <f>IF($W49=1,$F$44,0)+IF(AND($W49&gt;0,$W49&lt;=$O$16),$F$45,0)</f>
        <v/>
      </c>
      <c r="AY49" s="396">
        <f>IF(AND(W49&gt;$F$16,W49&lt;=SUM($F$16:$F$17)),$P$54,0)</f>
        <v/>
      </c>
      <c r="AZ49" s="396">
        <f>IF(AND(SUM($AQ$16:AQ48)&gt;0,SUM($AZ$16:AZ48)&lt;$P$62,$W49&gt;=$P$65),$P$64,0)</f>
        <v/>
      </c>
      <c r="BA49" s="396">
        <f>IF(SUM($AQ$17:$AQ48)&gt;0,($P$62-SUM($AZ$17:$AZ48))*$F$65,0)</f>
        <v/>
      </c>
      <c r="BB49" s="411">
        <f>SUM(AT49:AY49)</f>
        <v/>
      </c>
      <c r="BC49" s="353">
        <f>AS49-BB49</f>
        <v/>
      </c>
      <c r="BD49" s="415">
        <f>BC49*$BF49</f>
        <v/>
      </c>
      <c r="BE49" s="393" t="n"/>
      <c r="BF49" s="47">
        <f>BF48/(1+$O$22)</f>
        <v/>
      </c>
      <c r="BH49" s="414">
        <f>AT49</f>
        <v/>
      </c>
      <c r="BI49" s="414">
        <f>AU49</f>
        <v/>
      </c>
      <c r="BJ49" s="353">
        <f>AV49</f>
        <v/>
      </c>
      <c r="BK49" s="353">
        <f>AW49</f>
        <v/>
      </c>
      <c r="BL49" s="353">
        <f>AY49</f>
        <v/>
      </c>
      <c r="BM49" s="396">
        <f>IF($W49&gt;$F$16,$F$56,0)</f>
        <v/>
      </c>
      <c r="BN49" s="411">
        <f>SUM(BH49:BM49)</f>
        <v/>
      </c>
      <c r="BO49" s="353">
        <f>IF($W49=$F$16,$P$32,0)</f>
        <v/>
      </c>
      <c r="BP49" s="353">
        <f>IF(AND(W49&gt;$F$16,W49&lt;=SUM($F$16:$F$17)),$P$41,0)</f>
        <v/>
      </c>
      <c r="BQ49" s="353">
        <f>IFERROR(-IPMT($P$67,W49-$F$16,$F$17,SUM(P$31,P$51)),0)</f>
        <v/>
      </c>
      <c r="BR49" s="353">
        <f>IF($W49&lt;=$O$16,$F$105,0)</f>
        <v/>
      </c>
      <c r="BS49" s="353">
        <f>IF($W49=1,SUM($O$103,$O$105),0)</f>
        <v/>
      </c>
      <c r="BT49" s="353">
        <f>IF($W49&lt;$O$16,IF(W49=$F$16,$P$94,$P$95),0)</f>
        <v/>
      </c>
      <c r="BU49" s="411">
        <f>SUM(BO49:BP49,BR49:BT49)</f>
        <v/>
      </c>
      <c r="BV49" s="411">
        <f>BN49-BU49</f>
        <v/>
      </c>
      <c r="BW49" s="337" t="n"/>
      <c r="BX49" s="338">
        <f>IFERROR(-PPMT($P$67,$W49-$F$16,$F$17,SUM(P$31,P$51)),0)</f>
        <v/>
      </c>
      <c r="BY49" s="356">
        <f>IF(BV49-BX49&gt;=0,0,1)</f>
        <v/>
      </c>
    </row>
    <row r="50" ht="15.75" customHeight="1" s="302" thickBot="1">
      <c r="C50" s="56" t="inlineStr">
        <is>
          <t>競争の効果反映</t>
        </is>
      </c>
      <c r="D50" s="0" t="inlineStr">
        <is>
          <t>％</t>
        </is>
      </c>
      <c r="F50" s="268" t="n">
        <v>0.95</v>
      </c>
      <c r="H50" s="56" t="inlineStr">
        <is>
          <t>*デフォルト値として記載</t>
        </is>
      </c>
      <c r="M50" s="0" t="inlineStr">
        <is>
          <t>引渡時SPC税金負担</t>
        </is>
      </c>
      <c r="N50" s="19" t="inlineStr">
        <is>
          <t>百万円</t>
        </is>
      </c>
      <c r="O50" s="368" t="n"/>
      <c r="P50" s="369">
        <f>SUM(P84,P88)+P93</f>
        <v/>
      </c>
      <c r="Q50" s="0" t="inlineStr">
        <is>
          <t>引渡時の不動産取得税・登録免許税</t>
        </is>
      </c>
      <c r="V50" s="58">
        <f>IF(W50=1,DATE(YEAR($F$18)+(MONTH($F$18)&gt;=4),4,0),EOMONTH(V49,12))</f>
        <v/>
      </c>
      <c r="W50" s="26" t="n">
        <v>34</v>
      </c>
      <c r="X50" s="282">
        <f>IF(W50&gt;$O$16,"-",IF($W50&lt;=$F$16,"整備期間","維持管理・運営期間"))</f>
        <v/>
      </c>
      <c r="Y50" s="410">
        <f>IF($W50=$F$16,$O$61,0)</f>
        <v/>
      </c>
      <c r="Z50" s="396">
        <f>IF($W50=$F$16,$O$63,0)</f>
        <v/>
      </c>
      <c r="AA50" s="396">
        <f>IF($W50=$F$16,$O$62,0)</f>
        <v/>
      </c>
      <c r="AB50" s="396">
        <f>IF(X50="維持管理・運営期間",$F$56,0)</f>
        <v/>
      </c>
      <c r="AC50" s="411">
        <f>SUM(Y50:Z50,AB50)</f>
        <v/>
      </c>
      <c r="AD50" s="410">
        <f>IF($W50=$F$16,$O$30,0)</f>
        <v/>
      </c>
      <c r="AE50" s="396">
        <f>IF($X50="維持管理・運営期間",$O$41,0)</f>
        <v/>
      </c>
      <c r="AF50" s="396">
        <f>IF(AND($W50&gt;0,$W50&lt;=$O$16),$E$45,0)</f>
        <v/>
      </c>
      <c r="AG50" s="396">
        <f>IF(AND(SUM($AA$16:AA49)&gt;0,SUM($AG$16:AG49)&lt;$O$62,$W50&gt;=$O$65),$O$64,0)</f>
        <v/>
      </c>
      <c r="AH50" s="353">
        <f>IF(SUM($AA$17:$AA49)&gt;0,($O$62-SUM($AG$17:$AG49))*$E$65,0)</f>
        <v/>
      </c>
      <c r="AI50" s="411">
        <f>SUM(AD50:AF50)</f>
        <v/>
      </c>
      <c r="AJ50" s="353">
        <f>AC50-AI50</f>
        <v/>
      </c>
      <c r="AK50" s="405">
        <f>(SUM($P$31,$P$51)-SUM($AU$17:AU49))*$O$109</f>
        <v/>
      </c>
      <c r="AL50" s="413" t="n"/>
      <c r="AM50" s="415">
        <f>AJ50*$BF50</f>
        <v/>
      </c>
      <c r="AN50" s="349" t="n"/>
      <c r="AO50" s="414">
        <f>IF($W50=$F$16,$P$61,0)</f>
        <v/>
      </c>
      <c r="AP50" s="353">
        <f>IF($W50=$F$16,$P$63,0)</f>
        <v/>
      </c>
      <c r="AQ50" s="353">
        <f>IF($W50=$F$16,$P$62,0)</f>
        <v/>
      </c>
      <c r="AR50" s="396">
        <f>IF($W50&lt;$O$16,IF(W50=$F$16,$U$93,$U$94),0)</f>
        <v/>
      </c>
      <c r="AS50" s="411">
        <f>SUM(AO50:AP50,AR50)</f>
        <v/>
      </c>
      <c r="AT50" s="396">
        <f>IF(W50=$F$16,$P$30,0)</f>
        <v/>
      </c>
      <c r="AU50" s="396">
        <f>IFERROR(-PPMT($P$36,W50-$F$16,$F$17,SUM(P$31,P$51)),0)</f>
        <v/>
      </c>
      <c r="AV50" s="396">
        <f>IFERROR(-IPMT($P$36,W50-$F$16,$F$17,SUM($P$31,$P$51)),0)</f>
        <v/>
      </c>
      <c r="AW50" s="396">
        <f>IF(AND(W50&gt;$F$16,W50&lt;=SUM($F$16:$F$17)),$P$43,0)</f>
        <v/>
      </c>
      <c r="AX50" s="396">
        <f>IF($W50=1,$F$44,0)+IF(AND($W50&gt;0,$W50&lt;=$O$16),$F$45,0)</f>
        <v/>
      </c>
      <c r="AY50" s="396">
        <f>IF(AND(W50&gt;$F$16,W50&lt;=SUM($F$16:$F$17)),$P$54,0)</f>
        <v/>
      </c>
      <c r="AZ50" s="396">
        <f>IF(AND(SUM($AQ$16:AQ49)&gt;0,SUM($AZ$16:AZ49)&lt;$P$62,$W50&gt;=$P$65),$P$64,0)</f>
        <v/>
      </c>
      <c r="BA50" s="396">
        <f>IF(SUM($AQ$17:$AQ49)&gt;0,($P$62-SUM($AZ$17:$AZ49))*$F$65,0)</f>
        <v/>
      </c>
      <c r="BB50" s="411">
        <f>SUM(AT50:AY50)</f>
        <v/>
      </c>
      <c r="BC50" s="353">
        <f>AS50-BB50</f>
        <v/>
      </c>
      <c r="BD50" s="415">
        <f>BC50*$BF50</f>
        <v/>
      </c>
      <c r="BE50" s="393" t="n"/>
      <c r="BF50" s="47">
        <f>BF49/(1+$O$22)</f>
        <v/>
      </c>
      <c r="BH50" s="414">
        <f>AT50</f>
        <v/>
      </c>
      <c r="BI50" s="414">
        <f>AU50</f>
        <v/>
      </c>
      <c r="BJ50" s="353">
        <f>AV50</f>
        <v/>
      </c>
      <c r="BK50" s="353">
        <f>AW50</f>
        <v/>
      </c>
      <c r="BL50" s="353">
        <f>AY50</f>
        <v/>
      </c>
      <c r="BM50" s="396">
        <f>IF($W50&gt;$F$16,$F$56,0)</f>
        <v/>
      </c>
      <c r="BN50" s="411">
        <f>SUM(BH50:BM50)</f>
        <v/>
      </c>
      <c r="BO50" s="353">
        <f>IF($W50=$F$16,$P$32,0)</f>
        <v/>
      </c>
      <c r="BP50" s="353">
        <f>IF(AND(W50&gt;$F$16,W50&lt;=SUM($F$16:$F$17)),$P$41,0)</f>
        <v/>
      </c>
      <c r="BQ50" s="353">
        <f>IFERROR(-IPMT($P$67,W50-$F$16,$F$17,SUM(P$31,P$51)),0)</f>
        <v/>
      </c>
      <c r="BR50" s="353">
        <f>IF($W50&lt;=$O$16,$F$105,0)</f>
        <v/>
      </c>
      <c r="BS50" s="353">
        <f>IF($W50=1,SUM($O$103,$O$105),0)</f>
        <v/>
      </c>
      <c r="BT50" s="353">
        <f>IF($W50&lt;$O$16,IF(W50=$F$16,$P$94,$P$95),0)</f>
        <v/>
      </c>
      <c r="BU50" s="411">
        <f>SUM(BO50:BP50,BR50:BT50)</f>
        <v/>
      </c>
      <c r="BV50" s="411">
        <f>BN50-BU50</f>
        <v/>
      </c>
      <c r="BW50" s="337" t="n"/>
      <c r="BX50" s="338">
        <f>IFERROR(-PPMT($P$67,$W50-$F$16,$F$17,SUM(P$31,P$51)),0)</f>
        <v/>
      </c>
      <c r="BY50" s="356">
        <f>IF(BV50-BX50&gt;=0,0,1)</f>
        <v/>
      </c>
    </row>
    <row r="51" ht="15.75" customHeight="1" s="302" thickBot="1">
      <c r="B51" s="56" t="n"/>
      <c r="C51" s="56" t="inlineStr">
        <is>
          <t>民間が実施する場合の削減率（施設整備）</t>
        </is>
      </c>
      <c r="D51" s="0" t="inlineStr">
        <is>
          <t>％</t>
        </is>
      </c>
      <c r="F51" s="199">
        <f>事業費用概算!I32</f>
        <v/>
      </c>
      <c r="K51" s="124" t="inlineStr">
        <is>
          <t>サービス購入費（設立時費用）*サービス購入費に含める場合</t>
        </is>
      </c>
      <c r="L51" s="125" t="n"/>
      <c r="M51" s="125" t="n"/>
      <c r="N51" s="126" t="inlineStr">
        <is>
          <t>百万円</t>
        </is>
      </c>
      <c r="O51" s="370" t="n"/>
      <c r="P51" s="371">
        <f>SUM(P48:P49)*$F$47</f>
        <v/>
      </c>
      <c r="Q51" s="0" t="inlineStr">
        <is>
          <t>割賦元本に加算</t>
        </is>
      </c>
      <c r="V51" s="58">
        <f>IF(W51=1,DATE(YEAR($F$18)+(MONTH($F$18)&gt;=4),4,0),EOMONTH(V50,12))</f>
        <v/>
      </c>
      <c r="W51" s="26" t="n">
        <v>35</v>
      </c>
      <c r="X51" s="282">
        <f>IF(W51&gt;$O$16,"-",IF($W51&lt;=$F$16,"整備期間","維持管理・運営期間"))</f>
        <v/>
      </c>
      <c r="Y51" s="410">
        <f>IF($W51=$F$16,$O$61,0)</f>
        <v/>
      </c>
      <c r="Z51" s="396">
        <f>IF($W51=$F$16,$O$63,0)</f>
        <v/>
      </c>
      <c r="AA51" s="396">
        <f>IF($W51=$F$16,$O$62,0)</f>
        <v/>
      </c>
      <c r="AB51" s="396">
        <f>IF(X51="維持管理・運営期間",$F$56,0)</f>
        <v/>
      </c>
      <c r="AC51" s="411">
        <f>SUM(Y51:Z51,AB51)</f>
        <v/>
      </c>
      <c r="AD51" s="410">
        <f>IF($W51=$F$16,$O$30,0)</f>
        <v/>
      </c>
      <c r="AE51" s="396">
        <f>IF($X51="維持管理・運営期間",$O$41,0)</f>
        <v/>
      </c>
      <c r="AF51" s="396">
        <f>IF(AND($W51&gt;0,$W51&lt;=$O$16),$E$45,0)</f>
        <v/>
      </c>
      <c r="AG51" s="396">
        <f>IF(AND(SUM($AA$16:AA50)&gt;0,SUM($AG$16:AG50)&lt;$O$62,$W51&gt;=$O$65),$O$64,0)</f>
        <v/>
      </c>
      <c r="AH51" s="353">
        <f>IF(SUM($AA$17:$AA50)&gt;0,($O$62-SUM($AG$17:$AG50))*$E$65,0)</f>
        <v/>
      </c>
      <c r="AI51" s="411">
        <f>SUM(AD51:AF51)</f>
        <v/>
      </c>
      <c r="AJ51" s="353">
        <f>AC51-AI51</f>
        <v/>
      </c>
      <c r="AK51" s="405">
        <f>(SUM($P$31,$P$51)-SUM($AU$17:AU50))*$O$109</f>
        <v/>
      </c>
      <c r="AL51" s="413" t="n"/>
      <c r="AM51" s="415">
        <f>AJ51*$BF51</f>
        <v/>
      </c>
      <c r="AN51" s="349" t="n"/>
      <c r="AO51" s="414">
        <f>IF($W51=$F$16,$P$61,0)</f>
        <v/>
      </c>
      <c r="AP51" s="353">
        <f>IF($W51=$F$16,$P$63,0)</f>
        <v/>
      </c>
      <c r="AQ51" s="353">
        <f>IF($W51=$F$16,$P$62,0)</f>
        <v/>
      </c>
      <c r="AR51" s="396">
        <f>IF($W51&lt;$O$16,IF(W51=$F$16,$U$93,$U$94),0)</f>
        <v/>
      </c>
      <c r="AS51" s="411">
        <f>SUM(AO51:AP51,AR51)</f>
        <v/>
      </c>
      <c r="AT51" s="396">
        <f>IF(W51=$F$16,$P$30,0)</f>
        <v/>
      </c>
      <c r="AU51" s="396">
        <f>IFERROR(-PPMT($P$36,W51-$F$16,$F$17,SUM(P$31,P$51)),0)</f>
        <v/>
      </c>
      <c r="AV51" s="396">
        <f>IFERROR(-IPMT($P$36,W51-$F$16,$F$17,SUM($P$31,$P$51)),0)</f>
        <v/>
      </c>
      <c r="AW51" s="396">
        <f>IF(AND(W51&gt;$F$16,W51&lt;=SUM($F$16:$F$17)),$P$43,0)</f>
        <v/>
      </c>
      <c r="AX51" s="396">
        <f>IF($W51=1,$F$44,0)+IF(AND($W51&gt;0,$W51&lt;=$O$16),$F$45,0)</f>
        <v/>
      </c>
      <c r="AY51" s="396">
        <f>IF(AND(W51&gt;$F$16,W51&lt;=SUM($F$16:$F$17)),$P$54,0)</f>
        <v/>
      </c>
      <c r="AZ51" s="396">
        <f>IF(AND(SUM($AQ$16:AQ50)&gt;0,SUM($AZ$16:AZ50)&lt;$P$62,$W51&gt;=$P$65),$P$64,0)</f>
        <v/>
      </c>
      <c r="BA51" s="396">
        <f>IF(SUM($AQ$17:$AQ50)&gt;0,($P$62-SUM($AZ$17:$AZ50))*$F$65,0)</f>
        <v/>
      </c>
      <c r="BB51" s="411">
        <f>SUM(AT51:AY51)</f>
        <v/>
      </c>
      <c r="BC51" s="353">
        <f>AS51-BB51</f>
        <v/>
      </c>
      <c r="BD51" s="415">
        <f>BC51*$BF51</f>
        <v/>
      </c>
      <c r="BE51" s="393" t="n"/>
      <c r="BF51" s="47">
        <f>BF50/(1+$O$22)</f>
        <v/>
      </c>
      <c r="BH51" s="414">
        <f>AT51</f>
        <v/>
      </c>
      <c r="BI51" s="414">
        <f>AU51</f>
        <v/>
      </c>
      <c r="BJ51" s="353">
        <f>AV51</f>
        <v/>
      </c>
      <c r="BK51" s="353">
        <f>AW51</f>
        <v/>
      </c>
      <c r="BL51" s="353">
        <f>AY51</f>
        <v/>
      </c>
      <c r="BM51" s="396">
        <f>IF($W51&gt;$F$16,$F$56,0)</f>
        <v/>
      </c>
      <c r="BN51" s="411">
        <f>SUM(BH51:BM51)</f>
        <v/>
      </c>
      <c r="BO51" s="353">
        <f>IF($W51=$F$16,$P$32,0)</f>
        <v/>
      </c>
      <c r="BP51" s="353">
        <f>IF(AND(W51&gt;$F$16,W51&lt;=SUM($F$16:$F$17)),$P$41,0)</f>
        <v/>
      </c>
      <c r="BQ51" s="353">
        <f>IFERROR(-IPMT($P$67,W51-$F$16,$F$17,SUM(P$31,P$51)),0)</f>
        <v/>
      </c>
      <c r="BR51" s="353">
        <f>IF($W51&lt;=$O$16,$F$105,0)</f>
        <v/>
      </c>
      <c r="BS51" s="353">
        <f>IF($W51=1,SUM($O$103,$O$105),0)</f>
        <v/>
      </c>
      <c r="BT51" s="353">
        <f>IF($W51&lt;$O$16,IF(W51=$F$16,$P$94,$P$95),0)</f>
        <v/>
      </c>
      <c r="BU51" s="411">
        <f>SUM(BO51:BP51,BR51:BT51)</f>
        <v/>
      </c>
      <c r="BV51" s="411">
        <f>BN51-BU51</f>
        <v/>
      </c>
      <c r="BW51" s="337" t="n"/>
      <c r="BX51" s="338">
        <f>IFERROR(-PPMT($P$67,$W51-$F$16,$F$17,SUM(P$31,P$51)),0)</f>
        <v/>
      </c>
      <c r="BY51" s="356">
        <f>IF(BV51-BX51&gt;=0,0,1)</f>
        <v/>
      </c>
    </row>
    <row r="52" ht="15.75" customHeight="1" s="302">
      <c r="B52" s="56" t="n"/>
      <c r="C52" s="56" t="inlineStr">
        <is>
          <t>民間が実施する場合の削減率（維持管理運営）</t>
        </is>
      </c>
      <c r="D52" s="0" t="inlineStr">
        <is>
          <t>％</t>
        </is>
      </c>
      <c r="F52" s="199">
        <f>事業費用概算!I33</f>
        <v/>
      </c>
      <c r="M52" s="0" t="inlineStr">
        <is>
          <t>SPC経費　年額</t>
        </is>
      </c>
      <c r="N52" s="19" t="inlineStr">
        <is>
          <t>百万円</t>
        </is>
      </c>
      <c r="O52" s="372" t="n"/>
      <c r="P52" s="373">
        <f>F105</f>
        <v/>
      </c>
      <c r="V52" s="58">
        <f>IF(W52=1,DATE(YEAR($F$18)+(MONTH($F$18)&gt;=4),4,0),EOMONTH(V51,12))</f>
        <v/>
      </c>
      <c r="W52" s="26" t="n">
        <v>36</v>
      </c>
      <c r="X52" s="282">
        <f>IF(W52&gt;$O$16,"-",IF($W52&lt;=$F$16,"整備期間","維持管理・運営期間"))</f>
        <v/>
      </c>
      <c r="Y52" s="410">
        <f>IF($W52=$F$16,$O$61,0)</f>
        <v/>
      </c>
      <c r="Z52" s="396">
        <f>IF($W52=$F$16,$O$63,0)</f>
        <v/>
      </c>
      <c r="AA52" s="396">
        <f>IF($W52=$F$16,$O$62,0)</f>
        <v/>
      </c>
      <c r="AB52" s="396">
        <f>IF(X52="維持管理・運営期間",$F$56,0)</f>
        <v/>
      </c>
      <c r="AC52" s="411">
        <f>SUM(Y52:Z52,AB52)</f>
        <v/>
      </c>
      <c r="AD52" s="410">
        <f>IF($W52=$F$16,$O$30,0)</f>
        <v/>
      </c>
      <c r="AE52" s="396">
        <f>IF($X52="維持管理・運営期間",$O$41,0)</f>
        <v/>
      </c>
      <c r="AF52" s="396">
        <f>IF(AND($W52&gt;0,$W52&lt;=$O$16),$E$45,0)</f>
        <v/>
      </c>
      <c r="AG52" s="396">
        <f>IF(AND(SUM($AA$16:AA51)&gt;0,SUM($AG$16:AG51)&lt;$O$62,$W52&gt;=$O$65),$O$64,0)</f>
        <v/>
      </c>
      <c r="AH52" s="353">
        <f>IF(SUM($AA$17:$AA51)&gt;0,($O$62-SUM($AG$17:$AG51))*$E$65,0)</f>
        <v/>
      </c>
      <c r="AI52" s="411">
        <f>SUM(AD52:AF52)</f>
        <v/>
      </c>
      <c r="AJ52" s="353">
        <f>AC52-AI52</f>
        <v/>
      </c>
      <c r="AK52" s="405">
        <f>(SUM($P$31,$P$51)-SUM($AU$17:AU51))*$O$109</f>
        <v/>
      </c>
      <c r="AL52" s="413" t="n"/>
      <c r="AM52" s="415">
        <f>AJ52*$BF52</f>
        <v/>
      </c>
      <c r="AN52" s="349" t="n"/>
      <c r="AO52" s="414">
        <f>IF($W52=$F$16,$P$61,0)</f>
        <v/>
      </c>
      <c r="AP52" s="353">
        <f>IF($W52=$F$16,$P$63,0)</f>
        <v/>
      </c>
      <c r="AQ52" s="353">
        <f>IF($W52=$F$16,$P$62,0)</f>
        <v/>
      </c>
      <c r="AR52" s="396">
        <f>IF($W52&lt;$O$16,IF(W52=$F$16,$U$93,$U$94),0)</f>
        <v/>
      </c>
      <c r="AS52" s="411">
        <f>SUM(AO52:AP52,AR52)</f>
        <v/>
      </c>
      <c r="AT52" s="396">
        <f>IF(W52=$F$16,$P$30,0)</f>
        <v/>
      </c>
      <c r="AU52" s="396">
        <f>IFERROR(-PPMT($P$36,W52-$F$16,$F$17,SUM(P$31,P$51)),0)</f>
        <v/>
      </c>
      <c r="AV52" s="396">
        <f>IFERROR(-IPMT($P$36,W52-$F$16,$F$17,SUM($P$31,$P$51)),0)</f>
        <v/>
      </c>
      <c r="AW52" s="396">
        <f>IF(AND(W52&gt;$F$16,W52&lt;=SUM($F$16:$F$17)),$P$43,0)</f>
        <v/>
      </c>
      <c r="AX52" s="396">
        <f>IF($W52=1,$F$44,0)+IF(AND($W52&gt;0,$W52&lt;=$O$16),$F$45,0)</f>
        <v/>
      </c>
      <c r="AY52" s="396">
        <f>IF(AND(W52&gt;$F$16,W52&lt;=SUM($F$16:$F$17)),$P$54,0)</f>
        <v/>
      </c>
      <c r="AZ52" s="396">
        <f>IF(AND(SUM($AQ$16:AQ51)&gt;0,SUM($AZ$16:AZ51)&lt;$P$62,$W52&gt;=$P$65),$P$64,0)</f>
        <v/>
      </c>
      <c r="BA52" s="396">
        <f>IF(SUM($AQ$17:$AQ51)&gt;0,($P$62-SUM($AZ$17:$AZ51))*$F$65,0)</f>
        <v/>
      </c>
      <c r="BB52" s="411">
        <f>SUM(AT52:AY52)</f>
        <v/>
      </c>
      <c r="BC52" s="353">
        <f>AS52-BB52</f>
        <v/>
      </c>
      <c r="BD52" s="415">
        <f>BC52*$BF52</f>
        <v/>
      </c>
      <c r="BE52" s="393" t="n"/>
      <c r="BF52" s="47">
        <f>BF51/(1+$O$22)</f>
        <v/>
      </c>
      <c r="BH52" s="414">
        <f>AT52</f>
        <v/>
      </c>
      <c r="BI52" s="414">
        <f>AU52</f>
        <v/>
      </c>
      <c r="BJ52" s="353">
        <f>AV52</f>
        <v/>
      </c>
      <c r="BK52" s="353">
        <f>AW52</f>
        <v/>
      </c>
      <c r="BL52" s="353">
        <f>AY52</f>
        <v/>
      </c>
      <c r="BM52" s="396">
        <f>IF($W52&gt;$F$16,$F$56,0)</f>
        <v/>
      </c>
      <c r="BN52" s="411">
        <f>SUM(BH52:BM52)</f>
        <v/>
      </c>
      <c r="BO52" s="353">
        <f>IF($W52=$F$16,$P$32,0)</f>
        <v/>
      </c>
      <c r="BP52" s="353">
        <f>IF(AND(W52&gt;$F$16,W52&lt;=SUM($F$16:$F$17)),$P$41,0)</f>
        <v/>
      </c>
      <c r="BQ52" s="353">
        <f>IFERROR(-IPMT($P$67,W52-$F$16,$F$17,SUM(P$31,P$51)),0)</f>
        <v/>
      </c>
      <c r="BR52" s="353">
        <f>IF($W52&lt;=$O$16,$F$105,0)</f>
        <v/>
      </c>
      <c r="BS52" s="353">
        <f>IF($W52=1,SUM($O$103,$O$105),0)</f>
        <v/>
      </c>
      <c r="BT52" s="353">
        <f>IF($W52&lt;$O$16,IF(W52=$F$16,$P$94,$P$95),0)</f>
        <v/>
      </c>
      <c r="BU52" s="411">
        <f>SUM(BO52:BP52,BR52:BT52)</f>
        <v/>
      </c>
      <c r="BV52" s="411">
        <f>BN52-BU52</f>
        <v/>
      </c>
      <c r="BW52" s="337" t="n"/>
      <c r="BX52" s="338">
        <f>IFERROR(-PPMT($P$67,$W52-$F$16,$F$17,SUM(P$31,P$51)),0)</f>
        <v/>
      </c>
      <c r="BY52" s="356">
        <f>IF(BV52-BX52&gt;=0,0,1)</f>
        <v/>
      </c>
    </row>
    <row r="53" ht="15.75" customHeight="1" s="302" thickBot="1">
      <c r="M53" s="0" t="inlineStr">
        <is>
          <t>SPC税金負担</t>
        </is>
      </c>
      <c r="N53" s="19" t="inlineStr">
        <is>
          <t>百万円</t>
        </is>
      </c>
      <c r="O53" s="372" t="n"/>
      <c r="P53" s="131">
        <f>P95</f>
        <v/>
      </c>
      <c r="V53" s="58">
        <f>IF(W53=1,DATE(YEAR($F$18)+(MONTH($F$18)&gt;=4),4,0),EOMONTH(V52,12))</f>
        <v/>
      </c>
      <c r="W53" s="26" t="n">
        <v>37</v>
      </c>
      <c r="X53" s="282">
        <f>IF(W53&gt;$O$16,"-",IF($W53&lt;=$F$16,"整備期間","維持管理・運営期間"))</f>
        <v/>
      </c>
      <c r="Y53" s="410">
        <f>IF($W53=$F$16,$O$61,0)</f>
        <v/>
      </c>
      <c r="Z53" s="396">
        <f>IF($W53=$F$16,$O$63,0)</f>
        <v/>
      </c>
      <c r="AA53" s="396">
        <f>IF($W53=$F$16,$O$62,0)</f>
        <v/>
      </c>
      <c r="AB53" s="396">
        <f>IF(X53="維持管理・運営期間",$F$56,0)</f>
        <v/>
      </c>
      <c r="AC53" s="411">
        <f>SUM(Y53:Z53,AB53)</f>
        <v/>
      </c>
      <c r="AD53" s="410">
        <f>IF($W53=$F$16,$O$30,0)</f>
        <v/>
      </c>
      <c r="AE53" s="396">
        <f>IF($X53="維持管理・運営期間",$O$41,0)</f>
        <v/>
      </c>
      <c r="AF53" s="396">
        <f>IF(AND($W53&gt;0,$W53&lt;=$O$16),$E$45,0)</f>
        <v/>
      </c>
      <c r="AG53" s="396">
        <f>IF(AND(SUM($AA$16:AA52)&gt;0,SUM($AG$16:AG52)&lt;$O$62,$W53&gt;=$O$65),$O$64,0)</f>
        <v/>
      </c>
      <c r="AH53" s="353">
        <f>IF(SUM($AA$17:$AA52)&gt;0,($O$62-SUM($AG$17:$AG52))*$E$65,0)</f>
        <v/>
      </c>
      <c r="AI53" s="411">
        <f>SUM(AD53:AF53)</f>
        <v/>
      </c>
      <c r="AJ53" s="353">
        <f>AC53-AI53</f>
        <v/>
      </c>
      <c r="AK53" s="405">
        <f>(SUM($P$31,$P$51)-SUM($AU$17:AU52))*$O$109</f>
        <v/>
      </c>
      <c r="AL53" s="413" t="n"/>
      <c r="AM53" s="415">
        <f>AJ53*$BF53</f>
        <v/>
      </c>
      <c r="AN53" s="349" t="n"/>
      <c r="AO53" s="414">
        <f>IF($W53=$F$16,$P$61,0)</f>
        <v/>
      </c>
      <c r="AP53" s="353">
        <f>IF($W53=$F$16,$P$63,0)</f>
        <v/>
      </c>
      <c r="AQ53" s="353">
        <f>IF($W53=$F$16,$P$62,0)</f>
        <v/>
      </c>
      <c r="AR53" s="396">
        <f>IF($W53&lt;$O$16,IF(W53=$F$16,$U$93,$U$94),0)</f>
        <v/>
      </c>
      <c r="AS53" s="411">
        <f>SUM(AO53:AP53,AR53)</f>
        <v/>
      </c>
      <c r="AT53" s="396">
        <f>IF(W53=$F$16,$P$30,0)</f>
        <v/>
      </c>
      <c r="AU53" s="396">
        <f>IFERROR(-PPMT($P$36,W53-$F$16,$F$17,SUM(P$31,P$51)),0)</f>
        <v/>
      </c>
      <c r="AV53" s="396">
        <f>IFERROR(-IPMT($P$36,W53-$F$16,$F$17,SUM($P$31,$P$51)),0)</f>
        <v/>
      </c>
      <c r="AW53" s="396">
        <f>IF(AND(W53&gt;$F$16,W53&lt;=SUM($F$16:$F$17)),$P$43,0)</f>
        <v/>
      </c>
      <c r="AX53" s="396">
        <f>IF($W53=1,$F$44,0)+IF(AND($W53&gt;0,$W53&lt;=$O$16),$F$45,0)</f>
        <v/>
      </c>
      <c r="AY53" s="396">
        <f>IF(AND(W53&gt;$F$16,W53&lt;=SUM($F$16:$F$17)),$P$54,0)</f>
        <v/>
      </c>
      <c r="AZ53" s="396">
        <f>IF(AND(SUM($AQ$16:AQ52)&gt;0,SUM($AZ$16:AZ52)&lt;$P$62,$W53&gt;=$P$65),$P$64,0)</f>
        <v/>
      </c>
      <c r="BA53" s="396">
        <f>IF(SUM($AQ$17:$AQ52)&gt;0,($P$62-SUM($AZ$17:$AZ52))*$F$65,0)</f>
        <v/>
      </c>
      <c r="BB53" s="411">
        <f>SUM(AT53:AY53)</f>
        <v/>
      </c>
      <c r="BC53" s="353">
        <f>AS53-BB53</f>
        <v/>
      </c>
      <c r="BD53" s="415">
        <f>BC53*$BF53</f>
        <v/>
      </c>
      <c r="BE53" s="393" t="n"/>
      <c r="BF53" s="47">
        <f>BF52/(1+$O$22)</f>
        <v/>
      </c>
      <c r="BH53" s="414">
        <f>AT53</f>
        <v/>
      </c>
      <c r="BI53" s="414">
        <f>AU53</f>
        <v/>
      </c>
      <c r="BJ53" s="353">
        <f>AV53</f>
        <v/>
      </c>
      <c r="BK53" s="353">
        <f>AW53</f>
        <v/>
      </c>
      <c r="BL53" s="353">
        <f>AY53</f>
        <v/>
      </c>
      <c r="BM53" s="396">
        <f>IF($W53&gt;$F$16,$F$56,0)</f>
        <v/>
      </c>
      <c r="BN53" s="411">
        <f>SUM(BH53:BM53)</f>
        <v/>
      </c>
      <c r="BO53" s="353">
        <f>IF($W53=$F$16,$P$32,0)</f>
        <v/>
      </c>
      <c r="BP53" s="353">
        <f>IF(AND(W53&gt;$F$16,W53&lt;=SUM($F$16:$F$17)),$P$41,0)</f>
        <v/>
      </c>
      <c r="BQ53" s="353">
        <f>IFERROR(-IPMT($P$67,W53-$F$16,$F$17,SUM(P$31,P$51)),0)</f>
        <v/>
      </c>
      <c r="BR53" s="353">
        <f>IF($W53&lt;=$O$16,$F$105,0)</f>
        <v/>
      </c>
      <c r="BS53" s="353">
        <f>IF($W53=1,SUM($O$103,$O$105),0)</f>
        <v/>
      </c>
      <c r="BT53" s="353">
        <f>IF($W53&lt;$O$16,IF(W53=$F$16,$P$94,$P$95),0)</f>
        <v/>
      </c>
      <c r="BU53" s="411">
        <f>SUM(BO53:BP53,BR53:BT53)</f>
        <v/>
      </c>
      <c r="BV53" s="411">
        <f>BN53-BU53</f>
        <v/>
      </c>
      <c r="BW53" s="337" t="n"/>
      <c r="BX53" s="338">
        <f>IFERROR(-PPMT($P$67,$W53-$F$16,$F$17,SUM(P$31,P$51)),0)</f>
        <v/>
      </c>
      <c r="BY53" s="356">
        <f>IF(BV53-BX53&gt;=0,0,1)</f>
        <v/>
      </c>
    </row>
    <row r="54" ht="15.75" customHeight="1" s="302" thickBot="1">
      <c r="A54" s="4" t="inlineStr">
        <is>
          <t>３．事業にかかる収入</t>
        </is>
      </c>
      <c r="K54" s="124" t="inlineStr">
        <is>
          <t>サービス購入費（SPC費用等）年額　*サービス購入費に含める場合</t>
        </is>
      </c>
      <c r="L54" s="125" t="n"/>
      <c r="M54" s="125" t="n"/>
      <c r="N54" s="126" t="inlineStr">
        <is>
          <t>百万円</t>
        </is>
      </c>
      <c r="O54" s="370" t="n"/>
      <c r="P54" s="371">
        <f>SUM(P52:P53)*$F$47</f>
        <v/>
      </c>
      <c r="Q54" s="0" t="inlineStr">
        <is>
          <t>別途サービス購入費として支払</t>
        </is>
      </c>
      <c r="V54" s="58">
        <f>IF(W54=1,DATE(YEAR($F$18)+(MONTH($F$18)&gt;=4),4,0),EOMONTH(V53,12))</f>
        <v/>
      </c>
      <c r="W54" s="26" t="n">
        <v>38</v>
      </c>
      <c r="X54" s="282">
        <f>IF(W54&gt;$O$16,"-",IF($W54&lt;=$F$16,"整備期間","維持管理・運営期間"))</f>
        <v/>
      </c>
      <c r="Y54" s="410">
        <f>IF($W54=$F$16,$O$61,0)</f>
        <v/>
      </c>
      <c r="Z54" s="396">
        <f>IF($W54=$F$16,$O$63,0)</f>
        <v/>
      </c>
      <c r="AA54" s="396">
        <f>IF($W54=$F$16,$O$62,0)</f>
        <v/>
      </c>
      <c r="AB54" s="396">
        <f>IF(X54="維持管理・運営期間",$F$56,0)</f>
        <v/>
      </c>
      <c r="AC54" s="411">
        <f>SUM(Y54:Z54,AB54)</f>
        <v/>
      </c>
      <c r="AD54" s="410">
        <f>IF($W54=$F$16,$O$30,0)</f>
        <v/>
      </c>
      <c r="AE54" s="396">
        <f>IF($X54="維持管理・運営期間",$O$41,0)</f>
        <v/>
      </c>
      <c r="AF54" s="396">
        <f>IF(AND($W54&gt;0,$W54&lt;=$O$16),$E$45,0)</f>
        <v/>
      </c>
      <c r="AG54" s="396">
        <f>IF(AND(SUM($AA$16:AA53)&gt;0,SUM($AG$16:AG53)&lt;$O$62,$W54&gt;=$O$65),$O$64,0)</f>
        <v/>
      </c>
      <c r="AH54" s="353">
        <f>IF(SUM($AA$17:$AA53)&gt;0,($O$62-SUM($AG$17:$AG53))*$E$65,0)</f>
        <v/>
      </c>
      <c r="AI54" s="411">
        <f>SUM(AD54:AF54)</f>
        <v/>
      </c>
      <c r="AJ54" s="353">
        <f>AC54-AI54</f>
        <v/>
      </c>
      <c r="AK54" s="405">
        <f>(SUM($P$31,$P$51)-SUM($AU$17:AU53))*$O$109</f>
        <v/>
      </c>
      <c r="AL54" s="413" t="n"/>
      <c r="AM54" s="415">
        <f>AJ54*$BF54</f>
        <v/>
      </c>
      <c r="AN54" s="349" t="n"/>
      <c r="AO54" s="414">
        <f>IF($W54=$F$16,$P$61,0)</f>
        <v/>
      </c>
      <c r="AP54" s="353">
        <f>IF($W54=$F$16,$P$63,0)</f>
        <v/>
      </c>
      <c r="AQ54" s="353">
        <f>IF($W54=$F$16,$P$62,0)</f>
        <v/>
      </c>
      <c r="AR54" s="396">
        <f>IF($W54&lt;$O$16,IF(W54=$F$16,$U$93,$U$94),0)</f>
        <v/>
      </c>
      <c r="AS54" s="411">
        <f>SUM(AO54:AP54,AR54)</f>
        <v/>
      </c>
      <c r="AT54" s="396">
        <f>IF(W54=$F$16,$P$30,0)</f>
        <v/>
      </c>
      <c r="AU54" s="396">
        <f>IFERROR(-PPMT($P$36,W54-$F$16,$F$17,SUM(P$31,P$51)),0)</f>
        <v/>
      </c>
      <c r="AV54" s="396">
        <f>IFERROR(-IPMT($P$36,W54-$F$16,$F$17,SUM($P$31,$P$51)),0)</f>
        <v/>
      </c>
      <c r="AW54" s="396">
        <f>IF(AND(W54&gt;$F$16,W54&lt;=SUM($F$16:$F$17)),$P$43,0)</f>
        <v/>
      </c>
      <c r="AX54" s="396">
        <f>IF($W54=1,$F$44,0)+IF(AND($W54&gt;0,$W54&lt;=$O$16),$F$45,0)</f>
        <v/>
      </c>
      <c r="AY54" s="396">
        <f>IF(AND(W54&gt;$F$16,W54&lt;=SUM($F$16:$F$17)),$P$54,0)</f>
        <v/>
      </c>
      <c r="AZ54" s="396">
        <f>IF(AND(SUM($AQ$16:AQ53)&gt;0,SUM($AZ$16:AZ53)&lt;$P$62,$W54&gt;=$P$65),$P$64,0)</f>
        <v/>
      </c>
      <c r="BA54" s="396">
        <f>IF(SUM($AQ$17:$AQ53)&gt;0,($P$62-SUM($AZ$17:$AZ53))*$F$65,0)</f>
        <v/>
      </c>
      <c r="BB54" s="411">
        <f>SUM(AT54:AY54)</f>
        <v/>
      </c>
      <c r="BC54" s="353">
        <f>AS54-BB54</f>
        <v/>
      </c>
      <c r="BD54" s="415">
        <f>BC54*$BF54</f>
        <v/>
      </c>
      <c r="BE54" s="393" t="n"/>
      <c r="BF54" s="47">
        <f>BF53/(1+$O$22)</f>
        <v/>
      </c>
      <c r="BH54" s="414">
        <f>AT54</f>
        <v/>
      </c>
      <c r="BI54" s="414">
        <f>AU54</f>
        <v/>
      </c>
      <c r="BJ54" s="353">
        <f>AV54</f>
        <v/>
      </c>
      <c r="BK54" s="353">
        <f>AW54</f>
        <v/>
      </c>
      <c r="BL54" s="353">
        <f>AY54</f>
        <v/>
      </c>
      <c r="BM54" s="396">
        <f>IF($W54&gt;$F$16,$F$56,0)</f>
        <v/>
      </c>
      <c r="BN54" s="411">
        <f>SUM(BH54:BM54)</f>
        <v/>
      </c>
      <c r="BO54" s="353">
        <f>IF($W54=$F$16,$P$32,0)</f>
        <v/>
      </c>
      <c r="BP54" s="353">
        <f>IF(AND(W54&gt;$F$16,W54&lt;=SUM($F$16:$F$17)),$P$41,0)</f>
        <v/>
      </c>
      <c r="BQ54" s="353">
        <f>IFERROR(-IPMT($P$67,W54-$F$16,$F$17,SUM(P$31,P$51)),0)</f>
        <v/>
      </c>
      <c r="BR54" s="353">
        <f>IF($W54&lt;=$O$16,$F$105,0)</f>
        <v/>
      </c>
      <c r="BS54" s="353">
        <f>IF($W54=1,SUM($O$103,$O$105),0)</f>
        <v/>
      </c>
      <c r="BT54" s="353">
        <f>IF($W54&lt;$O$16,IF(W54=$F$16,$P$94,$P$95),0)</f>
        <v/>
      </c>
      <c r="BU54" s="411">
        <f>SUM(BO54:BP54,BR54:BT54)</f>
        <v/>
      </c>
      <c r="BV54" s="411">
        <f>BN54-BU54</f>
        <v/>
      </c>
      <c r="BW54" s="337" t="n"/>
      <c r="BX54" s="338">
        <f>IFERROR(-PPMT($P$67,$W54-$F$16,$F$17,SUM(P$31,P$51)),0)</f>
        <v/>
      </c>
      <c r="BY54" s="356">
        <f>IF(BV54-BX54&gt;=0,0,1)</f>
        <v/>
      </c>
    </row>
    <row r="55" ht="15.75" customHeight="1" s="302">
      <c r="V55" s="58">
        <f>IF(W55=1,DATE(YEAR($F$18)+(MONTH($F$18)&gt;=4),4,0),EOMONTH(V54,12))</f>
        <v/>
      </c>
      <c r="W55" s="26" t="n">
        <v>39</v>
      </c>
      <c r="X55" s="282">
        <f>IF(W55&gt;$O$16,"-",IF($W55&lt;=$F$16,"整備期間","維持管理・運営期間"))</f>
        <v/>
      </c>
      <c r="Y55" s="410">
        <f>IF($W55=$F$16,$O$61,0)</f>
        <v/>
      </c>
      <c r="Z55" s="396">
        <f>IF($W55=$F$16,$O$63,0)</f>
        <v/>
      </c>
      <c r="AA55" s="396">
        <f>IF($W55=$F$16,$O$62,0)</f>
        <v/>
      </c>
      <c r="AB55" s="396">
        <f>IF(X55="維持管理・運営期間",$F$56,0)</f>
        <v/>
      </c>
      <c r="AC55" s="411">
        <f>SUM(Y55:Z55,AB55)</f>
        <v/>
      </c>
      <c r="AD55" s="410">
        <f>IF($W55=$F$16,$O$30,0)</f>
        <v/>
      </c>
      <c r="AE55" s="396">
        <f>IF($X55="維持管理・運営期間",$O$41,0)</f>
        <v/>
      </c>
      <c r="AF55" s="396">
        <f>IF(AND($W55&gt;0,$W55&lt;=$O$16),$E$45,0)</f>
        <v/>
      </c>
      <c r="AG55" s="396">
        <f>IF(AND(SUM($AA$16:AA54)&gt;0,SUM($AG$16:AG54)&lt;$O$62,$W55&gt;=$O$65),$O$64,0)</f>
        <v/>
      </c>
      <c r="AH55" s="353">
        <f>IF(SUM($AA$17:$AA54)&gt;0,($O$62-SUM($AG$17:$AG54))*$E$65,0)</f>
        <v/>
      </c>
      <c r="AI55" s="411">
        <f>SUM(AD55:AF55)</f>
        <v/>
      </c>
      <c r="AJ55" s="353">
        <f>AC55-AI55</f>
        <v/>
      </c>
      <c r="AK55" s="405">
        <f>(SUM($P$31,$P$51)-SUM($AU$17:AU54))*$O$109</f>
        <v/>
      </c>
      <c r="AL55" s="413" t="n"/>
      <c r="AM55" s="415">
        <f>AJ55*$BF55</f>
        <v/>
      </c>
      <c r="AN55" s="349" t="n"/>
      <c r="AO55" s="414">
        <f>IF($W55=$F$16,$P$61,0)</f>
        <v/>
      </c>
      <c r="AP55" s="353">
        <f>IF($W55=$F$16,$P$63,0)</f>
        <v/>
      </c>
      <c r="AQ55" s="353">
        <f>IF($W55=$F$16,$P$62,0)</f>
        <v/>
      </c>
      <c r="AR55" s="396">
        <f>IF($W55&lt;$O$16,IF(W55=$F$16,$U$93,$U$94),0)</f>
        <v/>
      </c>
      <c r="AS55" s="411">
        <f>SUM(AO55:AP55,AR55)</f>
        <v/>
      </c>
      <c r="AT55" s="396">
        <f>IF(W55=$F$16,$P$30,0)</f>
        <v/>
      </c>
      <c r="AU55" s="396">
        <f>IFERROR(-PPMT($P$36,W55-$F$16,$F$17,SUM(P$31,P$51)),0)</f>
        <v/>
      </c>
      <c r="AV55" s="396">
        <f>IFERROR(-IPMT($P$36,W55-$F$16,$F$17,SUM($P$31,$P$51)),0)</f>
        <v/>
      </c>
      <c r="AW55" s="396">
        <f>IF(AND(W55&gt;$F$16,W55&lt;=SUM($F$16:$F$17)),$P$43,0)</f>
        <v/>
      </c>
      <c r="AX55" s="396">
        <f>IF($W55=1,$F$44,0)+IF(AND($W55&gt;0,$W55&lt;=$O$16),$F$45,0)</f>
        <v/>
      </c>
      <c r="AY55" s="396">
        <f>IF(AND(W55&gt;$F$16,W55&lt;=SUM($F$16:$F$17)),$P$54,0)</f>
        <v/>
      </c>
      <c r="AZ55" s="396">
        <f>IF(AND(SUM($AQ$16:AQ54)&gt;0,SUM($AZ$16:AZ54)&lt;$P$62,$W55&gt;=$P$65),$P$64,0)</f>
        <v/>
      </c>
      <c r="BA55" s="396">
        <f>IF(SUM($AQ$17:$AQ54)&gt;0,($P$62-SUM($AZ$17:$AZ54))*$F$65,0)</f>
        <v/>
      </c>
      <c r="BB55" s="411">
        <f>SUM(AT55:AY55)</f>
        <v/>
      </c>
      <c r="BC55" s="353">
        <f>AS55-BB55</f>
        <v/>
      </c>
      <c r="BD55" s="415">
        <f>BC55*$BF55</f>
        <v/>
      </c>
      <c r="BE55" s="393" t="n"/>
      <c r="BF55" s="47">
        <f>BF54/(1+$O$22)</f>
        <v/>
      </c>
      <c r="BH55" s="414">
        <f>AT55</f>
        <v/>
      </c>
      <c r="BI55" s="414">
        <f>AU55</f>
        <v/>
      </c>
      <c r="BJ55" s="353">
        <f>AV55</f>
        <v/>
      </c>
      <c r="BK55" s="353">
        <f>AW55</f>
        <v/>
      </c>
      <c r="BL55" s="353">
        <f>AY55</f>
        <v/>
      </c>
      <c r="BM55" s="396">
        <f>IF($W55&gt;$F$16,$F$56,0)</f>
        <v/>
      </c>
      <c r="BN55" s="411">
        <f>SUM(BH55:BM55)</f>
        <v/>
      </c>
      <c r="BO55" s="353">
        <f>IF($W55=$F$16,$P$32,0)</f>
        <v/>
      </c>
      <c r="BP55" s="353">
        <f>IF(AND(W55&gt;$F$16,W55&lt;=SUM($F$16:$F$17)),$P$41,0)</f>
        <v/>
      </c>
      <c r="BQ55" s="353">
        <f>IFERROR(-IPMT($P$67,W55-$F$16,$F$17,SUM(P$31,P$51)),0)</f>
        <v/>
      </c>
      <c r="BR55" s="353">
        <f>IF($W55&lt;=$O$16,$F$105,0)</f>
        <v/>
      </c>
      <c r="BS55" s="353">
        <f>IF($W55=1,SUM($O$103,$O$105),0)</f>
        <v/>
      </c>
      <c r="BT55" s="353">
        <f>IF($W55&lt;$O$16,IF(W55=$F$16,$P$94,$P$95),0)</f>
        <v/>
      </c>
      <c r="BU55" s="411">
        <f>SUM(BO55:BP55,BR55:BT55)</f>
        <v/>
      </c>
      <c r="BV55" s="411">
        <f>BN55-BU55</f>
        <v/>
      </c>
      <c r="BW55" s="337" t="n"/>
      <c r="BX55" s="338">
        <f>IFERROR(-PPMT($P$67,$W55-$F$16,$F$17,SUM(P$31,P$51)),0)</f>
        <v/>
      </c>
      <c r="BY55" s="356">
        <f>IF(BV55-BX55&gt;=0,0,1)</f>
        <v/>
      </c>
    </row>
    <row r="56" ht="15.75" customHeight="1" s="302">
      <c r="C56" s="56" t="inlineStr">
        <is>
          <t>利用料金収入（百万円、年額）</t>
        </is>
      </c>
      <c r="D56" s="0" t="inlineStr">
        <is>
          <t>百万円</t>
        </is>
      </c>
      <c r="F56" s="333" t="n">
        <v>0</v>
      </c>
      <c r="V56" s="58">
        <f>IF(W56=1,DATE(YEAR($F$18)+(MONTH($F$18)&gt;=4),4,0),EOMONTH(V55,12))</f>
        <v/>
      </c>
      <c r="W56" s="26" t="n">
        <v>40</v>
      </c>
      <c r="X56" s="282">
        <f>IF(W56&gt;$O$16,"-",IF($W56&lt;=$F$16,"整備期間","維持管理・運営期間"))</f>
        <v/>
      </c>
      <c r="Y56" s="410">
        <f>IF($W56=$F$16,$O$61,0)</f>
        <v/>
      </c>
      <c r="Z56" s="396">
        <f>IF($W56=$F$16,$O$63,0)</f>
        <v/>
      </c>
      <c r="AA56" s="396">
        <f>IF($W56=$F$16,$O$62,0)</f>
        <v/>
      </c>
      <c r="AB56" s="396">
        <f>IF(X56="維持管理・運営期間",$F$56,0)</f>
        <v/>
      </c>
      <c r="AC56" s="411">
        <f>SUM(Y56:Z56,AB56)</f>
        <v/>
      </c>
      <c r="AD56" s="410">
        <f>IF($W56=$F$16,$O$30,0)</f>
        <v/>
      </c>
      <c r="AE56" s="396">
        <f>IF($X56="維持管理・運営期間",$O$41,0)</f>
        <v/>
      </c>
      <c r="AF56" s="396">
        <f>IF(AND($W56&gt;0,$W56&lt;=$O$16),$E$45,0)</f>
        <v/>
      </c>
      <c r="AG56" s="396">
        <f>IF(AND(SUM($AA$16:AA55)&gt;0,SUM($AG$16:AG55)&lt;$O$62,$W56&gt;=$O$65),$O$64,0)</f>
        <v/>
      </c>
      <c r="AH56" s="353">
        <f>IF(SUM($AA$17:$AA55)&gt;0,($O$62-SUM($AG$17:$AG55))*$E$65,0)</f>
        <v/>
      </c>
      <c r="AI56" s="411">
        <f>SUM(AD56:AF56)</f>
        <v/>
      </c>
      <c r="AJ56" s="353">
        <f>AC56-AI56</f>
        <v/>
      </c>
      <c r="AK56" s="405">
        <f>(SUM($P$31,$P$51)-SUM($AU$17:AU55))*$O$109</f>
        <v/>
      </c>
      <c r="AL56" s="413" t="n"/>
      <c r="AM56" s="415">
        <f>AJ56*$BF56</f>
        <v/>
      </c>
      <c r="AN56" s="349" t="n"/>
      <c r="AO56" s="414">
        <f>IF($W56=$F$16,$P$61,0)</f>
        <v/>
      </c>
      <c r="AP56" s="353">
        <f>IF($W56=$F$16,$P$63,0)</f>
        <v/>
      </c>
      <c r="AQ56" s="353">
        <f>IF($W56=$F$16,$P$62,0)</f>
        <v/>
      </c>
      <c r="AR56" s="396">
        <f>IF($W56&lt;$O$16,IF(W56=$F$16,$U$93,$U$94),0)</f>
        <v/>
      </c>
      <c r="AS56" s="411">
        <f>SUM(AO56:AP56,AR56)</f>
        <v/>
      </c>
      <c r="AT56" s="396">
        <f>IF(W56=$F$16,$P$30,0)</f>
        <v/>
      </c>
      <c r="AU56" s="396">
        <f>IFERROR(-PPMT($P$36,W56-$F$16,$F$17,SUM(P$31,P$51)),0)</f>
        <v/>
      </c>
      <c r="AV56" s="396">
        <f>IFERROR(-IPMT($P$36,W56-$F$16,$F$17,SUM($P$31,$P$51)),0)</f>
        <v/>
      </c>
      <c r="AW56" s="396">
        <f>IF(AND(W56&gt;$F$16,W56&lt;=SUM($F$16:$F$17)),$P$43,0)</f>
        <v/>
      </c>
      <c r="AX56" s="396">
        <f>IF($W56=1,$F$44,0)+IF(AND($W56&gt;0,$W56&lt;=$O$16),$F$45,0)</f>
        <v/>
      </c>
      <c r="AY56" s="396">
        <f>IF(AND(W56&gt;$F$16,W56&lt;=SUM($F$16:$F$17)),$P$54,0)</f>
        <v/>
      </c>
      <c r="AZ56" s="396">
        <f>IF(AND(SUM($AQ$16:AQ55)&gt;0,SUM($AZ$16:AZ55)&lt;$P$62,$W56&gt;=$P$65),$P$64,0)</f>
        <v/>
      </c>
      <c r="BA56" s="396">
        <f>IF(SUM($AQ$17:$AQ55)&gt;0,($P$62-SUM($AZ$17:$AZ55))*$F$65,0)</f>
        <v/>
      </c>
      <c r="BB56" s="411">
        <f>SUM(AT56:AY56)</f>
        <v/>
      </c>
      <c r="BC56" s="353">
        <f>AS56-BB56</f>
        <v/>
      </c>
      <c r="BD56" s="415">
        <f>BC56*$BF56</f>
        <v/>
      </c>
      <c r="BE56" s="393" t="n"/>
      <c r="BF56" s="47">
        <f>BF55/(1+$O$22)</f>
        <v/>
      </c>
      <c r="BH56" s="414">
        <f>AT56</f>
        <v/>
      </c>
      <c r="BI56" s="414">
        <f>AU56</f>
        <v/>
      </c>
      <c r="BJ56" s="353">
        <f>AV56</f>
        <v/>
      </c>
      <c r="BK56" s="353">
        <f>AW56</f>
        <v/>
      </c>
      <c r="BL56" s="353">
        <f>AY56</f>
        <v/>
      </c>
      <c r="BM56" s="396">
        <f>IF($W56&gt;$F$16,$F$56,0)</f>
        <v/>
      </c>
      <c r="BN56" s="411">
        <f>SUM(BH56:BM56)</f>
        <v/>
      </c>
      <c r="BO56" s="353">
        <f>IF($W56=$F$16,$P$32,0)</f>
        <v/>
      </c>
      <c r="BP56" s="353">
        <f>IF(AND(W56&gt;$F$16,W56&lt;=SUM($F$16:$F$17)),$P$41,0)</f>
        <v/>
      </c>
      <c r="BQ56" s="353">
        <f>IFERROR(-IPMT($P$67,W56-$F$16,$F$17,SUM(P$31,P$51)),0)</f>
        <v/>
      </c>
      <c r="BR56" s="353">
        <f>IF($W56&lt;=$O$16,$F$105,0)</f>
        <v/>
      </c>
      <c r="BS56" s="353">
        <f>IF($W56=1,SUM($O$103,$O$105),0)</f>
        <v/>
      </c>
      <c r="BT56" s="353">
        <f>IF($W56&lt;$O$16,IF(W56=$F$16,$P$94,$P$95),0)</f>
        <v/>
      </c>
      <c r="BU56" s="411">
        <f>SUM(BO56:BP56,BR56:BT56)</f>
        <v/>
      </c>
      <c r="BV56" s="411">
        <f>BN56-BU56</f>
        <v/>
      </c>
      <c r="BW56" s="337" t="n"/>
      <c r="BX56" s="338">
        <f>IFERROR(-PPMT($P$67,$W56-$F$16,$F$17,SUM(P$31,P$51)),0)</f>
        <v/>
      </c>
      <c r="BY56" s="356">
        <f>IF(BV56-BX56&gt;=0,0,1)</f>
        <v/>
      </c>
    </row>
    <row r="57" ht="15.75" customHeight="1" s="302" thickBot="1">
      <c r="V57" s="19" t="n"/>
      <c r="Y57" s="417" t="n"/>
      <c r="Z57" s="417" t="n"/>
      <c r="AA57" s="404" t="n"/>
      <c r="AB57" s="404" t="n"/>
      <c r="AC57" s="404" t="n"/>
      <c r="AD57" s="404" t="n"/>
      <c r="AE57" s="404" t="n"/>
      <c r="AF57" s="404" t="n"/>
      <c r="AG57" s="396" t="n"/>
      <c r="AH57" s="353" t="n"/>
      <c r="AI57" s="404" t="n"/>
      <c r="AJ57" s="404" t="n"/>
      <c r="AK57" s="404" t="n"/>
      <c r="AL57" s="404" t="n"/>
      <c r="AM57" s="404" t="n"/>
      <c r="AN57" s="337" t="n"/>
      <c r="AO57" s="404" t="n"/>
      <c r="AP57" s="404" t="n"/>
      <c r="AQ57" s="404" t="n"/>
      <c r="AR57" s="404" t="n"/>
      <c r="AS57" s="404" t="n"/>
      <c r="AT57" s="404" t="n"/>
      <c r="AU57" s="404" t="n"/>
      <c r="AV57" s="404" t="n"/>
      <c r="AW57" s="404" t="n"/>
      <c r="AX57" s="404" t="n"/>
      <c r="AY57" s="404" t="n"/>
      <c r="AZ57" s="404" t="n"/>
      <c r="BA57" s="404" t="n"/>
      <c r="BB57" s="404" t="n"/>
      <c r="BC57" s="404" t="n"/>
      <c r="BD57" s="404" t="n"/>
      <c r="BH57" s="404" t="n"/>
      <c r="BI57" s="404" t="n"/>
      <c r="BJ57" s="404" t="n"/>
      <c r="BK57" s="404" t="n"/>
      <c r="BL57" s="404" t="n"/>
      <c r="BM57" s="404" t="n"/>
      <c r="BN57" s="404" t="n"/>
      <c r="BO57" s="404" t="n"/>
      <c r="BP57" s="404" t="n"/>
      <c r="BQ57" s="404" t="n"/>
      <c r="BR57" s="404" t="n"/>
      <c r="BS57" s="404" t="n"/>
      <c r="BT57" s="404" t="n"/>
      <c r="BU57" s="404" t="n"/>
      <c r="BV57" s="404" t="n"/>
      <c r="BW57" s="337" t="n"/>
      <c r="BX57" s="337" t="n"/>
    </row>
    <row r="58" ht="15.75" customHeight="1" s="302" thickTop="1">
      <c r="A58" s="4" t="inlineStr">
        <is>
          <t>４．事業にかかる資金調達</t>
        </is>
      </c>
      <c r="E58" s="0" t="inlineStr">
        <is>
          <t>PSC</t>
        </is>
      </c>
      <c r="F58" s="0" t="inlineStr">
        <is>
          <t>PFI-LCC</t>
        </is>
      </c>
      <c r="J58" s="4" t="inlineStr">
        <is>
          <t>４．事業にかかる資金調達</t>
        </is>
      </c>
      <c r="X58" s="145" t="inlineStr">
        <is>
          <t>合計</t>
        </is>
      </c>
      <c r="Y58" s="375">
        <f>SUM(Y16:Y56)</f>
        <v/>
      </c>
      <c r="Z58" s="375">
        <f>SUM(Z16:Z56)</f>
        <v/>
      </c>
      <c r="AA58" s="375">
        <f>SUM(AA16:AA56)</f>
        <v/>
      </c>
      <c r="AB58" s="375">
        <f>SUM(AB16:AB56)</f>
        <v/>
      </c>
      <c r="AC58" s="375">
        <f>SUM(AC16:AC56)</f>
        <v/>
      </c>
      <c r="AD58" s="375">
        <f>SUM(AD16:AD56)</f>
        <v/>
      </c>
      <c r="AE58" s="375">
        <f>SUM(AE16:AE56)</f>
        <v/>
      </c>
      <c r="AF58" s="375">
        <f>SUM(AF16:AF56)</f>
        <v/>
      </c>
      <c r="AG58" s="375">
        <f>SUM(AG16:AG56)</f>
        <v/>
      </c>
      <c r="AH58" s="375">
        <f>SUM(AH16:AH56)</f>
        <v/>
      </c>
      <c r="AI58" s="375">
        <f>SUM(AI16:AI56)</f>
        <v/>
      </c>
      <c r="AJ58" s="376">
        <f>SUM(AJ16:AJ56)</f>
        <v/>
      </c>
      <c r="AK58" s="376">
        <f>SUM(AK16:AK56)</f>
        <v/>
      </c>
      <c r="AL58" s="375">
        <f>SUM(AJ58,AL16)</f>
        <v/>
      </c>
      <c r="AM58" s="376">
        <f>SUM(AM16:AM56)</f>
        <v/>
      </c>
      <c r="AN58" s="337" t="n"/>
      <c r="AO58" s="375">
        <f>SUM(AO16:AO56)</f>
        <v/>
      </c>
      <c r="AP58" s="375">
        <f>SUM(AP16:AP56)</f>
        <v/>
      </c>
      <c r="AQ58" s="375">
        <f>SUM(AQ16:AQ56)</f>
        <v/>
      </c>
      <c r="AR58" s="375">
        <f>SUM(AR16:AR56)</f>
        <v/>
      </c>
      <c r="AS58" s="375">
        <f>SUM(AS16:AS56)</f>
        <v/>
      </c>
      <c r="AT58" s="375">
        <f>SUM(AT16:AT56)</f>
        <v/>
      </c>
      <c r="AU58" s="375">
        <f>SUM(AU16:AU56)</f>
        <v/>
      </c>
      <c r="AV58" s="375">
        <f>SUM(AV16:AV56)</f>
        <v/>
      </c>
      <c r="AW58" s="375">
        <f>SUM(AW16:AW56)</f>
        <v/>
      </c>
      <c r="AX58" s="375">
        <f>SUM(AX16:AX56)</f>
        <v/>
      </c>
      <c r="AY58" s="375">
        <f>SUM(AY16:AY56)</f>
        <v/>
      </c>
      <c r="AZ58" s="375">
        <f>SUM(AZ16:AZ56)</f>
        <v/>
      </c>
      <c r="BA58" s="375">
        <f>SUM(BA16:BA56)</f>
        <v/>
      </c>
      <c r="BB58" s="375">
        <f>SUM(BB16:BB56)</f>
        <v/>
      </c>
      <c r="BC58" s="376">
        <f>SUM(BC16:BC56)</f>
        <v/>
      </c>
      <c r="BD58" s="376">
        <f>SUM(BD16:BD56)</f>
        <v/>
      </c>
      <c r="BH58" s="375">
        <f>SUM(BH16:BH56)</f>
        <v/>
      </c>
      <c r="BI58" s="375">
        <f>SUM(BI16:BI56)</f>
        <v/>
      </c>
      <c r="BJ58" s="375">
        <f>SUM(BJ16:BJ56)</f>
        <v/>
      </c>
      <c r="BK58" s="375">
        <f>SUM(BK16:BK56)</f>
        <v/>
      </c>
      <c r="BL58" s="375">
        <f>SUM(BL16:BL56)</f>
        <v/>
      </c>
      <c r="BM58" s="375">
        <f>SUM(BM16:BM56)</f>
        <v/>
      </c>
      <c r="BN58" s="375">
        <f>SUM(BN16:BN56)</f>
        <v/>
      </c>
      <c r="BO58" s="375">
        <f>SUM(BO16:BO56)</f>
        <v/>
      </c>
      <c r="BP58" s="375">
        <f>SUM(BP16:BP56)</f>
        <v/>
      </c>
      <c r="BQ58" s="375">
        <f>SUM(BQ16:BQ56)</f>
        <v/>
      </c>
      <c r="BR58" s="375">
        <f>SUM(BR16:BR56)</f>
        <v/>
      </c>
      <c r="BS58" s="375">
        <f>SUM(BS16:BS56)</f>
        <v/>
      </c>
      <c r="BT58" s="375">
        <f>SUM(BT16:BT56)</f>
        <v/>
      </c>
      <c r="BU58" s="375">
        <f>SUM(BU16:BU56)</f>
        <v/>
      </c>
      <c r="BV58" s="375">
        <f>SUM(BV16:BV56)</f>
        <v/>
      </c>
      <c r="BW58" s="337" t="n"/>
      <c r="BX58" s="377">
        <f>SUM(BX16:BX56)</f>
        <v/>
      </c>
    </row>
    <row r="59" ht="15.75" customHeight="1" s="302">
      <c r="B59" s="0" t="inlineStr">
        <is>
          <t>4.1公共側</t>
        </is>
      </c>
      <c r="C59" s="295" t="inlineStr">
        <is>
          <t>調達必要額</t>
        </is>
      </c>
      <c r="D59" s="0" t="inlineStr">
        <is>
          <t>百万円</t>
        </is>
      </c>
      <c r="E59" s="364">
        <f>O62</f>
        <v/>
      </c>
      <c r="F59" s="364">
        <f>P62</f>
        <v/>
      </c>
      <c r="J59" s="4" t="inlineStr">
        <is>
          <t>4.1公共側</t>
        </is>
      </c>
      <c r="O59" s="0" t="inlineStr">
        <is>
          <t>PSC</t>
        </is>
      </c>
      <c r="P59" s="0" t="inlineStr">
        <is>
          <t>PFI-LCC</t>
        </is>
      </c>
      <c r="AL59" s="312" t="inlineStr">
        <is>
          <t>収支合計</t>
        </is>
      </c>
      <c r="AM59" s="312" t="n"/>
    </row>
    <row r="60" ht="15.75" customHeight="1" s="302">
      <c r="C60" s="296" t="inlineStr">
        <is>
          <t>補助金収入（％）</t>
        </is>
      </c>
      <c r="D60" s="0" t="inlineStr">
        <is>
          <t>％</t>
        </is>
      </c>
      <c r="E60" s="141" t="n">
        <v>0.3</v>
      </c>
      <c r="F60" s="141" t="n">
        <v>0.3</v>
      </c>
      <c r="K60" s="0" t="inlineStr">
        <is>
          <t>施設整備費用(インフレ考慮後）</t>
        </is>
      </c>
      <c r="N60" s="19" t="inlineStr">
        <is>
          <t>百万円</t>
        </is>
      </c>
      <c r="O60" s="358">
        <f>O29</f>
        <v/>
      </c>
      <c r="P60" s="358">
        <f>P29</f>
        <v/>
      </c>
      <c r="V60" s="19" t="n"/>
      <c r="Y60" s="0" t="n"/>
      <c r="Z60" s="0" t="n"/>
      <c r="AA60" s="19" t="n"/>
      <c r="AB60" s="19" t="n"/>
      <c r="AC60" s="19" t="n"/>
      <c r="AD60" s="19" t="n"/>
      <c r="AE60" s="19" t="n"/>
      <c r="AF60" s="19" t="n"/>
      <c r="AG60" s="19" t="n"/>
      <c r="AH60" s="19" t="n"/>
      <c r="AI60" s="19" t="n"/>
      <c r="AJ60" s="19" t="n"/>
      <c r="AK60" s="312" t="n"/>
      <c r="AL60" s="312" t="inlineStr">
        <is>
          <t>（リスク調整加算後）</t>
        </is>
      </c>
      <c r="AM60" s="312" t="n"/>
      <c r="AN60" s="312" t="n"/>
      <c r="AO60" s="312" t="n"/>
      <c r="AP60" s="19" t="n"/>
      <c r="AQ60" s="19" t="n"/>
      <c r="AR60" s="19" t="n"/>
      <c r="AS60" s="19" t="n"/>
      <c r="AT60" s="19" t="n"/>
      <c r="AU60" s="19" t="n"/>
      <c r="AV60" s="19" t="n"/>
      <c r="AW60" s="19" t="n"/>
      <c r="AX60" s="19" t="n"/>
      <c r="AY60" s="19" t="n"/>
      <c r="AZ60" s="19" t="n"/>
      <c r="BA60" s="19" t="n"/>
      <c r="BB60" s="19" t="n"/>
      <c r="BC60" s="19" t="n"/>
      <c r="BD60" s="19" t="n"/>
      <c r="BF60" s="312" t="n"/>
      <c r="BH60" s="19" t="n"/>
      <c r="BI60" s="19" t="n"/>
      <c r="BJ60" s="19" t="n"/>
      <c r="BK60" s="19" t="n"/>
      <c r="BL60" s="19" t="n"/>
      <c r="BM60" s="19" t="n"/>
      <c r="BN60" s="19" t="n"/>
      <c r="BO60" s="19" t="n"/>
      <c r="BP60" s="19" t="n"/>
      <c r="BQ60" s="19" t="n"/>
      <c r="BR60" s="19" t="n"/>
      <c r="BS60" s="19" t="n"/>
      <c r="BT60" s="19" t="n"/>
      <c r="BU60" s="19" t="n"/>
      <c r="BV60" s="19" t="n"/>
    </row>
    <row r="61" ht="20.25" customHeight="1" s="302">
      <c r="C61" s="296" t="inlineStr">
        <is>
          <t>起債への交付金（率）（％）</t>
        </is>
      </c>
      <c r="D61" s="0" t="inlineStr">
        <is>
          <t>％</t>
        </is>
      </c>
      <c r="E61" s="3" t="n">
        <v>0.3</v>
      </c>
      <c r="F61" s="3" t="n">
        <v>0.3</v>
      </c>
      <c r="K61" s="0" t="inlineStr">
        <is>
          <t>補助金</t>
        </is>
      </c>
      <c r="N61" s="19" t="inlineStr">
        <is>
          <t>百万円</t>
        </is>
      </c>
      <c r="O61" s="358">
        <f>O60*$E$60</f>
        <v/>
      </c>
      <c r="P61" s="358">
        <f>P60*$F$60</f>
        <v/>
      </c>
      <c r="V61" s="19" t="n"/>
      <c r="Y61" s="0" t="n"/>
      <c r="Z61" s="0" t="n"/>
      <c r="AA61" s="19" t="n"/>
      <c r="AB61" s="19" t="n"/>
      <c r="AC61" s="19" t="n"/>
      <c r="AD61" s="19" t="n"/>
      <c r="AE61" s="19" t="n"/>
      <c r="AF61" s="19" t="n"/>
      <c r="AG61" s="19" t="n"/>
      <c r="AH61" s="19" t="n"/>
      <c r="AI61" s="19" t="n"/>
      <c r="AJ61" s="19" t="n"/>
      <c r="AK61" s="312" t="n"/>
      <c r="AL61" s="312" t="n"/>
      <c r="AM61" s="312" t="n"/>
      <c r="AN61" s="312" t="n"/>
      <c r="AO61" s="312" t="n"/>
      <c r="AP61" s="19" t="n"/>
      <c r="AQ61" s="19" t="n"/>
      <c r="AR61" s="19" t="n"/>
      <c r="AS61" s="19" t="n"/>
      <c r="AT61" s="19" t="n"/>
      <c r="AU61" s="19" t="n"/>
      <c r="AV61" s="19" t="n"/>
      <c r="AW61" s="19" t="n"/>
      <c r="AX61" s="19" t="n"/>
      <c r="AY61" s="19" t="n"/>
      <c r="AZ61" s="19" t="n"/>
      <c r="BA61" s="19" t="n"/>
      <c r="BB61" s="19" t="n"/>
      <c r="BC61" s="19" t="n"/>
      <c r="BD61" s="19" t="n"/>
      <c r="BF61" s="312" t="n"/>
      <c r="BH61" s="19" t="n"/>
      <c r="BI61" s="19" t="n"/>
      <c r="BJ61" s="19" t="n"/>
      <c r="BK61" s="19" t="n"/>
      <c r="BL61" s="19" t="n"/>
      <c r="BM61" s="19" t="n"/>
      <c r="BN61" s="19" t="n"/>
      <c r="BO61" s="19" t="n"/>
      <c r="BP61" s="19" t="n"/>
      <c r="BQ61" s="19" t="n"/>
      <c r="BR61" s="19" t="n"/>
      <c r="BS61" s="19" t="n"/>
      <c r="BT61" s="19" t="n"/>
      <c r="BU61" s="19" t="n"/>
      <c r="BV61" s="19" t="n"/>
    </row>
    <row r="62" ht="15.75" customHeight="1" s="302">
      <c r="C62" s="296" t="inlineStr">
        <is>
          <t>起債充当率（％）</t>
        </is>
      </c>
      <c r="D62" s="0" t="inlineStr">
        <is>
          <t>％</t>
        </is>
      </c>
      <c r="E62" s="3" t="n">
        <v>0.75</v>
      </c>
      <c r="F62" s="3" t="n">
        <v>0.75</v>
      </c>
      <c r="J62" s="4" t="n"/>
      <c r="K62" s="0" t="inlineStr">
        <is>
          <t>起債発行額（額）</t>
        </is>
      </c>
      <c r="N62" s="19" t="inlineStr">
        <is>
          <t>百万円</t>
        </is>
      </c>
      <c r="O62" s="358">
        <f>(O60-O61)*$E$62</f>
        <v/>
      </c>
      <c r="P62" s="358">
        <f>(P30-P61)*$F$62</f>
        <v/>
      </c>
      <c r="V62" s="19" t="n"/>
    </row>
    <row r="63" ht="15.75" customHeight="1" s="302">
      <c r="C63" s="296" t="inlineStr">
        <is>
          <t>据置期間</t>
        </is>
      </c>
      <c r="D63" s="0" t="inlineStr">
        <is>
          <t>年</t>
        </is>
      </c>
      <c r="E63" s="333" t="n">
        <v>3</v>
      </c>
      <c r="F63" s="333" t="n">
        <v>3</v>
      </c>
      <c r="K63" s="0" t="inlineStr">
        <is>
          <t>起債への交付金（額）</t>
        </is>
      </c>
      <c r="N63" s="19" t="inlineStr">
        <is>
          <t>百万円</t>
        </is>
      </c>
      <c r="O63" s="358">
        <f>O62*$E$61</f>
        <v/>
      </c>
      <c r="P63" s="358">
        <f>P62*$F$61</f>
        <v/>
      </c>
      <c r="V63" s="19" t="n"/>
    </row>
    <row r="64" ht="15.75" customHeight="1" s="302">
      <c r="C64" s="297" t="inlineStr">
        <is>
          <t>償還期間（年）</t>
        </is>
      </c>
      <c r="D64" s="0" t="inlineStr">
        <is>
          <t>年</t>
        </is>
      </c>
      <c r="E64" s="333" t="n">
        <v>23</v>
      </c>
      <c r="F64" s="333" t="n">
        <v>23</v>
      </c>
      <c r="K64" s="0" t="inlineStr">
        <is>
          <t>起債償還額（年額）</t>
        </is>
      </c>
      <c r="N64" s="19" t="inlineStr">
        <is>
          <t>百万円</t>
        </is>
      </c>
      <c r="O64" s="358">
        <f>O62/$E$64</f>
        <v/>
      </c>
      <c r="P64" s="358">
        <f>P62/$F$64</f>
        <v/>
      </c>
      <c r="V64" s="19" t="n"/>
    </row>
    <row r="65" ht="15.75" customHeight="1" s="302">
      <c r="C65" s="297" t="inlineStr">
        <is>
          <t>地方債利回り（％）</t>
        </is>
      </c>
      <c r="D65" s="0" t="inlineStr">
        <is>
          <t>％</t>
        </is>
      </c>
      <c r="E65" s="378" t="n">
        <v>0.0135</v>
      </c>
      <c r="F65" s="378" t="n">
        <v>0.0135</v>
      </c>
      <c r="K65" s="295" t="inlineStr">
        <is>
          <t>償還開始時期（第●期）</t>
        </is>
      </c>
      <c r="N65" s="19" t="inlineStr">
        <is>
          <t>期</t>
        </is>
      </c>
      <c r="O65" s="418">
        <f>$F$16+E63+1</f>
        <v/>
      </c>
      <c r="P65" s="418">
        <f>$F$16+F63+1</f>
        <v/>
      </c>
    </row>
    <row r="66" ht="15.75" customHeight="1" s="302">
      <c r="B66" s="0" t="inlineStr">
        <is>
          <t>4.2民間事業者側</t>
        </is>
      </c>
      <c r="C66" s="19" t="n"/>
      <c r="J66" s="4" t="inlineStr">
        <is>
          <t>4.2民間事業者側</t>
        </is>
      </c>
      <c r="P66" s="0" t="inlineStr">
        <is>
          <t>PFI-LCC</t>
        </is>
      </c>
    </row>
    <row r="67" ht="15.75" customHeight="1" s="302">
      <c r="E67" s="0" t="inlineStr">
        <is>
          <t>PSC</t>
        </is>
      </c>
      <c r="F67" s="0" t="inlineStr">
        <is>
          <t>PFI-LCC</t>
        </is>
      </c>
      <c r="K67" s="0" t="inlineStr">
        <is>
          <t>借入金利</t>
        </is>
      </c>
      <c r="O67" s="19" t="n"/>
      <c r="P67" s="110">
        <f>SUM(F69:F70)</f>
        <v/>
      </c>
    </row>
    <row r="68" ht="15.75" customHeight="1" s="302">
      <c r="C68" s="0" t="inlineStr">
        <is>
          <t>調達必要額</t>
        </is>
      </c>
      <c r="D68" s="0" t="inlineStr">
        <is>
          <t>百万円</t>
        </is>
      </c>
      <c r="F68" s="364">
        <f>P31</f>
        <v/>
      </c>
    </row>
    <row r="69" ht="15.75" customHeight="1" s="302">
      <c r="C69" s="0" t="inlineStr">
        <is>
          <t>基準金利</t>
        </is>
      </c>
      <c r="D69" s="0" t="inlineStr">
        <is>
          <t>％</t>
        </is>
      </c>
      <c r="F69" s="294">
        <f>F35</f>
        <v/>
      </c>
      <c r="H69" s="56" t="inlineStr">
        <is>
          <t>*割賦払の基準金利をデフォルト値として参照</t>
        </is>
      </c>
    </row>
    <row r="70" ht="15.75" customHeight="1" s="302">
      <c r="C70" s="0" t="inlineStr">
        <is>
          <t>スプレッド</t>
        </is>
      </c>
      <c r="D70" s="0" t="inlineStr">
        <is>
          <t>％</t>
        </is>
      </c>
      <c r="F70" s="419" t="n">
        <v>0.015</v>
      </c>
    </row>
    <row r="71" ht="15.75" customHeight="1" s="302">
      <c r="C71" s="56" t="inlineStr">
        <is>
          <t>借入金利（％）</t>
        </is>
      </c>
      <c r="D71" s="0" t="inlineStr">
        <is>
          <t>％</t>
        </is>
      </c>
    </row>
    <row r="72" ht="15.75" customHeight="1" s="302">
      <c r="A72" s="4" t="inlineStr">
        <is>
          <t>５．事業に係る税金</t>
        </is>
      </c>
      <c r="J72" s="4" t="inlineStr">
        <is>
          <t>５．事業に係る税金</t>
        </is>
      </c>
    </row>
    <row r="73" ht="15.75" customHeight="1" s="302">
      <c r="C73" s="0" t="inlineStr">
        <is>
          <t>法人税</t>
        </is>
      </c>
      <c r="O73" s="19" t="n"/>
      <c r="P73" s="19" t="n"/>
      <c r="R73" s="4" t="inlineStr">
        <is>
          <t>うち、発注者に納付される税金</t>
        </is>
      </c>
      <c r="S73" s="4" t="n"/>
      <c r="T73" s="4" t="n"/>
    </row>
    <row r="74" ht="15.75" customHeight="1" s="302">
      <c r="C74" s="2" t="inlineStr">
        <is>
          <t>法人税課税標準（SPC税引前利敵）</t>
        </is>
      </c>
      <c r="D74" s="0" t="inlineStr">
        <is>
          <t>百万円</t>
        </is>
      </c>
      <c r="F74" s="380" t="n">
        <v>0</v>
      </c>
      <c r="H74" s="0" t="inlineStr">
        <is>
          <t>0をデフォルト値とする</t>
        </is>
      </c>
      <c r="O74" s="19" t="n"/>
      <c r="P74" s="5" t="inlineStr">
        <is>
          <t>法人税</t>
        </is>
      </c>
      <c r="U74" s="4" t="inlineStr">
        <is>
          <t>（都道府県）事業税</t>
        </is>
      </c>
    </row>
    <row r="75" ht="15.75" customHeight="1" s="302">
      <c r="C75" s="2" t="inlineStr">
        <is>
          <t>法人税率</t>
        </is>
      </c>
      <c r="D75" s="0" t="inlineStr">
        <is>
          <t>％</t>
        </is>
      </c>
      <c r="F75" s="395" t="n">
        <v>0</v>
      </c>
      <c r="H75" s="0" t="inlineStr">
        <is>
          <t>実効税率</t>
        </is>
      </c>
      <c r="N75" s="0" t="inlineStr">
        <is>
          <t>SPC税引前利益</t>
        </is>
      </c>
      <c r="O75" s="2" t="n"/>
      <c r="P75" s="334">
        <f>F74</f>
        <v/>
      </c>
      <c r="S75" s="0" t="inlineStr">
        <is>
          <t>課税標準</t>
        </is>
      </c>
      <c r="T75" s="19" t="inlineStr">
        <is>
          <t>百万円</t>
        </is>
      </c>
      <c r="U75" s="334">
        <f>F90</f>
        <v/>
      </c>
    </row>
    <row r="76" ht="15.75" customHeight="1" s="302">
      <c r="C76" s="0" t="inlineStr">
        <is>
          <t>法人住民税均等割</t>
        </is>
      </c>
      <c r="N76" s="0" t="inlineStr">
        <is>
          <t>税率</t>
        </is>
      </c>
      <c r="O76" s="2" t="n"/>
      <c r="P76" s="115">
        <f>F75</f>
        <v/>
      </c>
      <c r="S76" s="0" t="inlineStr">
        <is>
          <t>税率</t>
        </is>
      </c>
      <c r="T76" s="0" t="inlineStr">
        <is>
          <t>％</t>
        </is>
      </c>
      <c r="U76" s="115">
        <f>F91</f>
        <v/>
      </c>
      <c r="W76" s="113" t="n"/>
    </row>
    <row r="77" ht="15.75" customHeight="1" s="302">
      <c r="C77" s="2" t="inlineStr">
        <is>
          <t>税額</t>
        </is>
      </c>
      <c r="D77" s="0" t="inlineStr">
        <is>
          <t>百万円</t>
        </is>
      </c>
      <c r="F77" s="387" t="n">
        <v>0.18</v>
      </c>
      <c r="H77" s="0" t="inlineStr">
        <is>
          <t>資本金1億円以下、従業員50万人以下</t>
        </is>
      </c>
      <c r="N77" s="0" t="inlineStr">
        <is>
          <t>税額</t>
        </is>
      </c>
      <c r="O77" s="2" t="inlineStr">
        <is>
          <t>百万円</t>
        </is>
      </c>
      <c r="P77" s="116">
        <f>P75*P76</f>
        <v/>
      </c>
      <c r="S77" s="0" t="inlineStr">
        <is>
          <t>税額</t>
        </is>
      </c>
      <c r="T77" s="19" t="inlineStr">
        <is>
          <t>百万円</t>
        </is>
      </c>
      <c r="U77" s="116">
        <f>U75*U76</f>
        <v/>
      </c>
    </row>
    <row r="78" ht="15.75" customHeight="1" s="302">
      <c r="N78" s="0" t="n"/>
      <c r="O78" s="2" t="n"/>
      <c r="P78" s="5" t="inlineStr">
        <is>
          <t>法人住民税均等割</t>
        </is>
      </c>
      <c r="T78" s="19" t="n"/>
      <c r="U78" s="4" t="inlineStr">
        <is>
          <t>（都道府県）法人住民税率</t>
        </is>
      </c>
    </row>
    <row r="79" ht="15.75" customHeight="1" s="302">
      <c r="C79" s="0" t="inlineStr">
        <is>
          <t>不動産取得税</t>
        </is>
      </c>
      <c r="N79" s="0" t="inlineStr">
        <is>
          <t>税額</t>
        </is>
      </c>
      <c r="O79" s="2" t="inlineStr">
        <is>
          <t>百万円</t>
        </is>
      </c>
      <c r="P79" s="382">
        <f>F77</f>
        <v/>
      </c>
      <c r="S79" s="0" t="inlineStr">
        <is>
          <t>課税標準</t>
        </is>
      </c>
      <c r="T79" s="19" t="inlineStr">
        <is>
          <t>百万円</t>
        </is>
      </c>
      <c r="U79" s="334">
        <f>F93</f>
        <v/>
      </c>
    </row>
    <row r="80" ht="15.75" customHeight="1" s="302">
      <c r="C80" s="2" t="inlineStr">
        <is>
          <t>課税標準</t>
        </is>
      </c>
      <c r="D80" s="0" t="inlineStr">
        <is>
          <t>百万円</t>
        </is>
      </c>
      <c r="F80" s="387" t="n">
        <v>0</v>
      </c>
      <c r="H80" s="0" t="inlineStr">
        <is>
          <t>特例等、税制に応じて入力（施設整備額はP26セル）</t>
        </is>
      </c>
      <c r="O80" s="2" t="n"/>
      <c r="P80" s="5" t="inlineStr">
        <is>
          <t>不動産取得税</t>
        </is>
      </c>
      <c r="S80" s="0" t="inlineStr">
        <is>
          <t>税率</t>
        </is>
      </c>
      <c r="T80" s="0" t="inlineStr">
        <is>
          <t>％</t>
        </is>
      </c>
      <c r="U80" s="115">
        <f>F94</f>
        <v/>
      </c>
    </row>
    <row r="81" ht="15.75" customHeight="1" s="302">
      <c r="C81" s="2" t="inlineStr">
        <is>
          <t>税率</t>
        </is>
      </c>
      <c r="D81" s="0" t="inlineStr">
        <is>
          <t>％</t>
        </is>
      </c>
      <c r="F81" s="381" t="n">
        <v>0</v>
      </c>
      <c r="H81" s="0" t="inlineStr">
        <is>
          <t>BOT・BOO以外は不要</t>
        </is>
      </c>
      <c r="N81" s="0" t="inlineStr">
        <is>
          <t>施設整備額</t>
        </is>
      </c>
      <c r="O81" s="2" t="n"/>
      <c r="P81" s="334">
        <f>F80</f>
        <v/>
      </c>
      <c r="S81" s="0" t="inlineStr">
        <is>
          <t>税額</t>
        </is>
      </c>
      <c r="T81" s="19" t="inlineStr">
        <is>
          <t>百万円</t>
        </is>
      </c>
      <c r="U81" s="116">
        <f>U79*U80</f>
        <v/>
      </c>
    </row>
    <row r="82" ht="15.75" customHeight="1" s="302">
      <c r="C82" s="0" t="inlineStr">
        <is>
          <t>固定資産税</t>
        </is>
      </c>
      <c r="N82" s="0" t="inlineStr">
        <is>
          <t>税率</t>
        </is>
      </c>
      <c r="O82" s="2" t="n"/>
      <c r="P82" s="115">
        <f>F81</f>
        <v/>
      </c>
      <c r="T82" s="19" t="n"/>
      <c r="U82" s="4" t="inlineStr">
        <is>
          <t>（市町村）法人住民税率</t>
        </is>
      </c>
    </row>
    <row r="83" ht="15.75" customHeight="1" s="302">
      <c r="C83" s="2" t="inlineStr">
        <is>
          <t>課税標準</t>
        </is>
      </c>
      <c r="D83" s="0" t="inlineStr">
        <is>
          <t>百万円</t>
        </is>
      </c>
      <c r="F83" s="387" t="n">
        <v>0</v>
      </c>
      <c r="H83" s="0" t="inlineStr">
        <is>
          <t>特例等、税制に応じて入力（施設整備額はP26セル）</t>
        </is>
      </c>
      <c r="N83" s="0" t="inlineStr">
        <is>
          <t>税額</t>
        </is>
      </c>
      <c r="O83" s="2" t="inlineStr">
        <is>
          <t>百万円</t>
        </is>
      </c>
      <c r="P83" s="116">
        <f>P81*P82</f>
        <v/>
      </c>
      <c r="S83" s="0" t="inlineStr">
        <is>
          <t>課税標準</t>
        </is>
      </c>
      <c r="T83" s="19" t="inlineStr">
        <is>
          <t>百万円</t>
        </is>
      </c>
      <c r="U83" s="334">
        <f>F96</f>
        <v/>
      </c>
    </row>
    <row r="84">
      <c r="C84" s="2" t="inlineStr">
        <is>
          <t>税率</t>
        </is>
      </c>
      <c r="D84" s="0" t="inlineStr">
        <is>
          <t>％</t>
        </is>
      </c>
      <c r="F84" s="381" t="n">
        <v>0</v>
      </c>
      <c r="H84" s="0" t="inlineStr">
        <is>
          <t>BOT・BOO以外は不要</t>
        </is>
      </c>
      <c r="O84" s="2" t="n"/>
      <c r="P84" s="5" t="inlineStr">
        <is>
          <t>登録免許税</t>
        </is>
      </c>
      <c r="S84" s="0" t="inlineStr">
        <is>
          <t>税率</t>
        </is>
      </c>
      <c r="T84" s="0" t="inlineStr">
        <is>
          <t>％</t>
        </is>
      </c>
      <c r="U84" s="115">
        <f>F97</f>
        <v/>
      </c>
    </row>
    <row r="85">
      <c r="C85" s="0" t="inlineStr">
        <is>
          <t>登録免許税</t>
        </is>
      </c>
      <c r="N85" s="0" t="inlineStr">
        <is>
          <t>施設整備額</t>
        </is>
      </c>
      <c r="O85" s="2" t="n"/>
      <c r="P85" s="334">
        <f>F83</f>
        <v/>
      </c>
      <c r="S85" s="0" t="inlineStr">
        <is>
          <t>税額</t>
        </is>
      </c>
      <c r="T85" s="19" t="inlineStr">
        <is>
          <t>百万円</t>
        </is>
      </c>
      <c r="U85" s="116">
        <f>U83*U84</f>
        <v/>
      </c>
    </row>
    <row r="86">
      <c r="C86" s="2" t="inlineStr">
        <is>
          <t>課税標準</t>
        </is>
      </c>
      <c r="D86" s="0" t="inlineStr">
        <is>
          <t>百万円</t>
        </is>
      </c>
      <c r="F86" s="387" t="n">
        <v>0</v>
      </c>
      <c r="H86" s="0" t="inlineStr">
        <is>
          <t>税制に応じて入力（施設整備額はP26セル）</t>
        </is>
      </c>
      <c r="N86" s="0" t="inlineStr">
        <is>
          <t>税率</t>
        </is>
      </c>
      <c r="O86" s="2" t="n"/>
      <c r="P86" s="115">
        <f>F87</f>
        <v/>
      </c>
      <c r="T86" s="19" t="n"/>
    </row>
    <row r="87">
      <c r="C87" s="2" t="inlineStr">
        <is>
          <t>税率</t>
        </is>
      </c>
      <c r="D87" s="0" t="inlineStr">
        <is>
          <t>％</t>
        </is>
      </c>
      <c r="F87" s="381" t="n">
        <v>0</v>
      </c>
      <c r="H87" s="0" t="inlineStr">
        <is>
          <t>BOT・BOO以外は不要</t>
        </is>
      </c>
      <c r="N87" s="0" t="inlineStr">
        <is>
          <t>税額</t>
        </is>
      </c>
      <c r="O87" s="2" t="inlineStr">
        <is>
          <t>百万円</t>
        </is>
      </c>
      <c r="P87" s="116">
        <f>P85*P86</f>
        <v/>
      </c>
      <c r="S87" s="0" t="inlineStr">
        <is>
          <t>（都道府県）不動産取得税　税額</t>
        </is>
      </c>
      <c r="T87" s="19" t="inlineStr">
        <is>
          <t>百万円</t>
        </is>
      </c>
      <c r="U87" s="118">
        <f>IF($F$13="都道府県",P83,0)</f>
        <v/>
      </c>
    </row>
    <row r="88">
      <c r="C88" s="0" t="inlineStr">
        <is>
          <t>うち、発注者への納付される税金</t>
        </is>
      </c>
      <c r="N88" s="0" t="n"/>
      <c r="O88" s="2" t="n"/>
      <c r="P88" s="420" t="inlineStr">
        <is>
          <t>固定資産税</t>
        </is>
      </c>
      <c r="S88" s="0" t="inlineStr">
        <is>
          <t>（市町村）固定資産税　税額</t>
        </is>
      </c>
      <c r="T88" s="19" t="inlineStr">
        <is>
          <t>百万円</t>
        </is>
      </c>
      <c r="U88" s="365">
        <f>IF($F$13="市町村",P91,0)</f>
        <v/>
      </c>
    </row>
    <row r="89">
      <c r="C89" s="0" t="inlineStr">
        <is>
          <t>（都道府県）事業税</t>
        </is>
      </c>
      <c r="N89" s="0" t="inlineStr">
        <is>
          <t>施設整備額</t>
        </is>
      </c>
      <c r="O89" s="2" t="n"/>
      <c r="P89" s="334">
        <f>F83</f>
        <v/>
      </c>
    </row>
    <row r="90">
      <c r="C90" s="2" t="inlineStr">
        <is>
          <t>課税標準</t>
        </is>
      </c>
      <c r="D90" s="0" t="inlineStr">
        <is>
          <t>百万円</t>
        </is>
      </c>
      <c r="F90" s="380" t="n">
        <v>0</v>
      </c>
      <c r="H90" s="0" t="inlineStr">
        <is>
          <t>0をデフォルト値とする</t>
        </is>
      </c>
      <c r="N90" s="0" t="inlineStr">
        <is>
          <t>税率</t>
        </is>
      </c>
      <c r="O90" s="2" t="n"/>
      <c r="P90" s="115">
        <f>F84</f>
        <v/>
      </c>
    </row>
    <row r="91">
      <c r="C91" s="2" t="inlineStr">
        <is>
          <t>税率</t>
        </is>
      </c>
      <c r="D91" s="0" t="inlineStr">
        <is>
          <t>％</t>
        </is>
      </c>
      <c r="F91" s="333" t="n">
        <v>0</v>
      </c>
      <c r="H91" s="0" t="inlineStr">
        <is>
          <t>発注者が都道府県の場合、入力</t>
        </is>
      </c>
      <c r="N91" s="0" t="inlineStr">
        <is>
          <t>税額</t>
        </is>
      </c>
      <c r="O91" s="2" t="inlineStr">
        <is>
          <t>百万円</t>
        </is>
      </c>
      <c r="P91" s="116">
        <f>P89*P90</f>
        <v/>
      </c>
    </row>
    <row r="92">
      <c r="C92" s="0" t="inlineStr">
        <is>
          <t>（都道府県）法人住民税</t>
        </is>
      </c>
      <c r="K92" s="4" t="inlineStr">
        <is>
          <t>法人税等・公租公課</t>
        </is>
      </c>
      <c r="N92" s="0" t="n"/>
      <c r="O92" s="2" t="n"/>
      <c r="R92" s="4" t="inlineStr">
        <is>
          <t>発注者に納付される税金　合計</t>
        </is>
      </c>
      <c r="S92" s="4" t="n"/>
    </row>
    <row r="93">
      <c r="C93" s="2" t="inlineStr">
        <is>
          <t>課税標準</t>
        </is>
      </c>
      <c r="D93" s="0" t="inlineStr">
        <is>
          <t>百万円</t>
        </is>
      </c>
      <c r="F93" s="380" t="n">
        <v>0</v>
      </c>
      <c r="H93" s="0" t="inlineStr">
        <is>
          <t>0をデフォルト値とする</t>
        </is>
      </c>
      <c r="M93" s="0" t="inlineStr">
        <is>
          <t>整備期間中</t>
        </is>
      </c>
      <c r="N93" s="0" t="inlineStr">
        <is>
          <t>税額</t>
        </is>
      </c>
      <c r="O93" s="2" t="inlineStr">
        <is>
          <t>百万円</t>
        </is>
      </c>
      <c r="P93" s="358">
        <f>P79</f>
        <v/>
      </c>
      <c r="S93" s="0" t="inlineStr">
        <is>
          <t>完工年度のみ</t>
        </is>
      </c>
      <c r="T93" s="19" t="inlineStr">
        <is>
          <t>百万円</t>
        </is>
      </c>
      <c r="U93" s="365">
        <f>SUM(F99,U77,U81,U85,U87:U88)</f>
        <v/>
      </c>
    </row>
    <row r="94">
      <c r="C94" s="2" t="inlineStr">
        <is>
          <t>税率</t>
        </is>
      </c>
      <c r="D94" s="0" t="inlineStr">
        <is>
          <t>％</t>
        </is>
      </c>
      <c r="F94" s="333" t="n">
        <v>0</v>
      </c>
      <c r="H94" s="0" t="inlineStr">
        <is>
          <t>発注者が都道府県の場合、入力</t>
        </is>
      </c>
      <c r="M94" s="0" t="inlineStr">
        <is>
          <t>完工年度のみ</t>
        </is>
      </c>
      <c r="N94" s="0" t="inlineStr">
        <is>
          <t>税額</t>
        </is>
      </c>
      <c r="O94" s="2" t="inlineStr">
        <is>
          <t>百万円</t>
        </is>
      </c>
      <c r="P94" s="358">
        <f>SUM(P77,P79,P83,P87,P91)</f>
        <v/>
      </c>
      <c r="S94" s="0" t="inlineStr">
        <is>
          <t>運営期間中</t>
        </is>
      </c>
      <c r="T94" s="19" t="inlineStr">
        <is>
          <t>百万円</t>
        </is>
      </c>
      <c r="U94" s="365">
        <f>SUM(F100,U77,U81,U85)</f>
        <v/>
      </c>
    </row>
    <row r="95">
      <c r="C95" s="56" t="inlineStr">
        <is>
          <t>（市町村）法人住民税</t>
        </is>
      </c>
      <c r="M95" s="0" t="inlineStr">
        <is>
          <t>運営期間中</t>
        </is>
      </c>
      <c r="N95" s="0" t="inlineStr">
        <is>
          <t>税額</t>
        </is>
      </c>
      <c r="O95" s="2" t="inlineStr">
        <is>
          <t>百万円</t>
        </is>
      </c>
      <c r="P95" s="358">
        <f>SUM(P77,P79,P91)</f>
        <v/>
      </c>
    </row>
    <row r="96">
      <c r="C96" s="2" t="inlineStr">
        <is>
          <t>課税標準</t>
        </is>
      </c>
      <c r="D96" s="0" t="inlineStr">
        <is>
          <t>百万円</t>
        </is>
      </c>
      <c r="F96" s="380" t="n">
        <v>0</v>
      </c>
      <c r="H96" s="0" t="inlineStr">
        <is>
          <t>0をデフォルト値とする</t>
        </is>
      </c>
    </row>
    <row r="97">
      <c r="C97" s="2" t="inlineStr">
        <is>
          <t>税率</t>
        </is>
      </c>
      <c r="D97" s="0" t="inlineStr">
        <is>
          <t>％</t>
        </is>
      </c>
      <c r="F97" s="333" t="n">
        <v>0</v>
      </c>
      <c r="H97" s="0" t="inlineStr">
        <is>
          <t>発注者が市町村又は東京都の場合、入力</t>
        </is>
      </c>
    </row>
    <row r="99">
      <c r="C99" s="0" t="inlineStr">
        <is>
          <t>任意入力（全額）①　完工年度のみ</t>
        </is>
      </c>
      <c r="D99" s="0" t="inlineStr">
        <is>
          <t>百万円</t>
        </is>
      </c>
      <c r="F99" s="387" t="n">
        <v>0</v>
      </c>
    </row>
    <row r="100">
      <c r="C100" s="0" t="inlineStr">
        <is>
          <t>任意入力（全額）②　運営期間中</t>
        </is>
      </c>
      <c r="D100" s="0" t="inlineStr">
        <is>
          <t>百万円</t>
        </is>
      </c>
      <c r="F100" s="387" t="n">
        <v>0</v>
      </c>
    </row>
    <row r="102">
      <c r="A102" s="4" t="inlineStr">
        <is>
          <t>６．リスク調整</t>
        </is>
      </c>
      <c r="J102" s="4" t="inlineStr">
        <is>
          <t>６.リスク調整額</t>
        </is>
      </c>
      <c r="O102" s="0" t="inlineStr">
        <is>
          <t>PSC</t>
        </is>
      </c>
      <c r="P102" s="0" t="inlineStr">
        <is>
          <t>PFI-LCC</t>
        </is>
      </c>
    </row>
    <row r="103">
      <c r="C103" s="312" t="n"/>
      <c r="D103" s="312" t="n"/>
      <c r="E103" s="312" t="n"/>
      <c r="F103" s="312" t="inlineStr">
        <is>
          <t>リスク調整額</t>
        </is>
      </c>
      <c r="K103" s="0" t="inlineStr">
        <is>
          <t>6.1SPC設立費用</t>
        </is>
      </c>
      <c r="N103" s="19" t="inlineStr">
        <is>
          <t>百万円</t>
        </is>
      </c>
      <c r="O103" s="358">
        <f>F104</f>
        <v/>
      </c>
      <c r="P103" s="362" t="n"/>
    </row>
    <row r="104">
      <c r="C104" s="94" t="inlineStr">
        <is>
          <t>SPC設立費用</t>
        </is>
      </c>
      <c r="D104" s="0" t="inlineStr">
        <is>
          <t>百万円</t>
        </is>
      </c>
      <c r="F104" s="333" t="n">
        <v>100</v>
      </c>
      <c r="K104" s="0" t="inlineStr">
        <is>
          <t>6.2SPC経費</t>
        </is>
      </c>
      <c r="N104" s="19" t="inlineStr">
        <is>
          <t>百万円</t>
        </is>
      </c>
      <c r="O104" s="358">
        <f>F105*O16</f>
        <v/>
      </c>
      <c r="P104" s="362" t="n"/>
    </row>
    <row r="105">
      <c r="C105" s="94" t="inlineStr">
        <is>
          <t>SPC経費（年額）</t>
        </is>
      </c>
      <c r="D105" s="0" t="inlineStr">
        <is>
          <t>百万円</t>
        </is>
      </c>
      <c r="F105" s="333" t="n">
        <v>15</v>
      </c>
      <c r="K105" s="0" t="inlineStr">
        <is>
          <t>6.3SPC予備費</t>
        </is>
      </c>
      <c r="N105" s="19" t="inlineStr">
        <is>
          <t>百万円</t>
        </is>
      </c>
      <c r="O105" s="358">
        <f>F106</f>
        <v/>
      </c>
      <c r="P105" s="362" t="n"/>
    </row>
    <row r="106">
      <c r="C106" s="94" t="inlineStr">
        <is>
          <t>SPC予備費</t>
        </is>
      </c>
      <c r="D106" s="0" t="inlineStr">
        <is>
          <t>百万円</t>
        </is>
      </c>
      <c r="F106" s="333" t="n">
        <v>100</v>
      </c>
      <c r="K106" s="0" t="inlineStr">
        <is>
          <t>6.4官民での利払い費用の差</t>
        </is>
      </c>
      <c r="M106" s="0" t="inlineStr">
        <is>
          <t>地方債利回り</t>
        </is>
      </c>
      <c r="N106" s="0" t="n"/>
      <c r="O106" s="291" t="n"/>
    </row>
    <row r="107">
      <c r="M107" s="0" t="inlineStr">
        <is>
          <t>公共の調達金利（地方債）</t>
        </is>
      </c>
      <c r="N107" s="19" t="inlineStr">
        <is>
          <t>％</t>
        </is>
      </c>
      <c r="O107" s="421">
        <f>F65</f>
        <v/>
      </c>
      <c r="P107" s="362" t="n"/>
    </row>
    <row r="108">
      <c r="M108" s="0" t="inlineStr">
        <is>
          <t>民間の借入金利</t>
        </is>
      </c>
      <c r="N108" s="19" t="inlineStr">
        <is>
          <t>％</t>
        </is>
      </c>
      <c r="O108" s="422">
        <f>P67</f>
        <v/>
      </c>
      <c r="P108" s="362" t="n"/>
    </row>
    <row r="109">
      <c r="M109" s="0" t="inlineStr">
        <is>
          <t>官民での利払い差（レート）</t>
        </is>
      </c>
      <c r="N109" s="19" t="inlineStr">
        <is>
          <t>％</t>
        </is>
      </c>
      <c r="O109" s="421">
        <f>O108-O107</f>
        <v/>
      </c>
      <c r="P109" s="362" t="n"/>
    </row>
    <row r="110">
      <c r="M110" s="392" t="inlineStr">
        <is>
          <t>官民利払い費の差</t>
        </is>
      </c>
      <c r="N110" s="0" t="inlineStr">
        <is>
          <t>百万円</t>
        </is>
      </c>
      <c r="O110" s="358">
        <f>SUM(AK17:AK46)</f>
        <v/>
      </c>
      <c r="P110" s="362" t="n"/>
    </row>
    <row r="112" ht="17" customFormat="1" customHeight="1" s="264" thickBot="1">
      <c r="B112" s="264" t="inlineStr">
        <is>
          <t>END OF WORKSHEET</t>
        </is>
      </c>
      <c r="I112" s="265" t="n"/>
    </row>
    <row r="113" hidden="1" ht="19" customHeight="1" s="302" thickTop="1"/>
  </sheetData>
  <dataValidations count="2">
    <dataValidation sqref="F13" showDropDown="0" showInputMessage="1" showErrorMessage="1" allowBlank="0" type="list">
      <formula1>$O$13:$Q$13</formula1>
    </dataValidation>
    <dataValidation sqref="F47" showDropDown="0" showInputMessage="1" showErrorMessage="1" allowBlank="0" type="list">
      <formula1>$G$47:$G$48</formula1>
    </dataValidation>
  </dataValidations>
  <pageMargins left="0.2362204724409449" right="0.2362204724409449" top="0.7480314960629921" bottom="0.7480314960629921" header="0.3149606299212598" footer="0.3149606299212598"/>
  <pageSetup orientation="landscape" paperSize="8" scale="40" fitToWidth="0"/>
  <colBreaks count="2" manualBreakCount="2">
    <brk id="21" min="0" max="124" man="1"/>
    <brk id="58" min="0" max="124" man="1"/>
  </colBreaks>
</worksheet>
</file>

<file path=xl/worksheets/sheet7.xml><?xml version="1.0" encoding="utf-8"?>
<worksheet xmlns="http://schemas.openxmlformats.org/spreadsheetml/2006/main">
  <sheetPr>
    <tabColor rgb="FFFFC000"/>
    <outlinePr summaryBelow="1" summaryRight="1"/>
    <pageSetUpPr fitToPage="1"/>
  </sheetPr>
  <dimension ref="A2:CA112"/>
  <sheetViews>
    <sheetView showGridLines="0" view="pageBreakPreview" topLeftCell="U1" zoomScale="70" zoomScaleNormal="55" zoomScaleSheetLayoutView="70" workbookViewId="0">
      <selection activeCell="AH17" sqref="AH17:AH56"/>
    </sheetView>
  </sheetViews>
  <sheetFormatPr baseColWidth="10" defaultColWidth="0" defaultRowHeight="18" zeroHeight="1" outlineLevelCol="1"/>
  <cols>
    <col width="4.83203125" customWidth="1" style="302" min="1" max="1"/>
    <col width="40.6640625" customWidth="1" style="302" min="2" max="2"/>
    <col width="40.1640625" bestFit="1" customWidth="1" style="302" min="3" max="3"/>
    <col width="7.33203125" customWidth="1" style="302" min="4" max="4"/>
    <col width="8.5" bestFit="1" customWidth="1" style="302" min="5" max="5"/>
    <col width="11.5" customWidth="1" style="302" min="6" max="6"/>
    <col width="2.5" customWidth="1" style="302" min="7" max="7"/>
    <col width="43.6640625" customWidth="1" style="302" min="8" max="8"/>
    <col width="1.6640625" customWidth="1" style="302" min="9" max="9"/>
    <col outlineLevel="1" width="12.5" customWidth="1" style="302" min="10" max="11"/>
    <col outlineLevel="1" width="1.83203125" customWidth="1" style="302" min="12" max="12"/>
    <col outlineLevel="1" width="42.1640625" customWidth="1" style="302" min="13" max="13"/>
    <col outlineLevel="1" width="11.1640625" customWidth="1" style="19" min="14" max="14"/>
    <col outlineLevel="1" width="24.5" customWidth="1" style="302" min="15" max="16"/>
    <col outlineLevel="1" width="4.6640625" customWidth="1" style="302" min="17" max="17"/>
    <col outlineLevel="1" width="10" customWidth="1" style="302" min="18" max="18"/>
    <col outlineLevel="1" width="19.1640625" customWidth="1" style="302" min="19" max="19"/>
    <col outlineLevel="1" width="7.5" customWidth="1" style="302" min="20" max="20"/>
    <col outlineLevel="1" width="24.5" customWidth="1" style="302" min="21" max="21"/>
    <col width="12" customWidth="1" style="302" min="22" max="22"/>
    <col width="9.6640625" customWidth="1" style="302" min="23" max="23"/>
    <col width="21.5" customWidth="1" style="302" min="24" max="24"/>
    <col width="10.83203125" customWidth="1" style="302" min="25" max="26"/>
    <col width="10.83203125" customWidth="1" style="19" min="27" max="36"/>
    <col width="10.83203125" customWidth="1" style="312" min="37" max="38"/>
    <col width="12" customWidth="1" style="312" min="39" max="39"/>
    <col width="1.6640625" customWidth="1" style="312" min="40" max="40"/>
    <col width="10.33203125" customWidth="1" style="312" min="41" max="41"/>
    <col width="10.33203125" customWidth="1" style="19" min="42" max="45"/>
    <col width="16" customWidth="1" style="19" min="46" max="49"/>
    <col width="10.6640625" customWidth="1" style="19" min="50" max="54"/>
    <col width="12" customWidth="1" style="19" min="55" max="56"/>
    <col width="1.6640625" customWidth="1" style="19" min="57" max="57"/>
    <col width="12" customWidth="1" style="312" min="58" max="58"/>
    <col width="1.5" customWidth="1" style="19" min="59" max="59"/>
    <col width="16" customWidth="1" style="19" min="60" max="63"/>
    <col width="12" customWidth="1" style="19" min="64" max="70"/>
    <col width="16.83203125" customWidth="1" style="19" min="71" max="71"/>
    <col width="12" customWidth="1" style="19" min="72" max="74"/>
    <col width="2.1640625" customWidth="1" style="19" min="75" max="75"/>
    <col width="12" customWidth="1" style="19" min="76" max="76"/>
    <col width="20.6640625" bestFit="1" customWidth="1" style="19" min="77" max="77"/>
    <col hidden="1" width="3.33203125" customWidth="1" style="19" min="78" max="78"/>
    <col hidden="1" style="19" min="79" max="79"/>
    <col hidden="1" style="302" min="80" max="91"/>
    <col hidden="1" width="9" customWidth="1" style="302" min="92" max="16384"/>
  </cols>
  <sheetData>
    <row r="1" ht="15.75" customHeight="1" s="302"/>
    <row r="2">
      <c r="B2" s="4" t="inlineStr">
        <is>
          <t>入力箇所の説明</t>
        </is>
      </c>
      <c r="Y2" s="242" t="n"/>
      <c r="Z2" s="242" t="n"/>
      <c r="AA2" s="33" t="n"/>
      <c r="AB2" s="33" t="n"/>
      <c r="AC2" s="33" t="n"/>
      <c r="AD2" s="33" t="n"/>
      <c r="AE2" s="33" t="n"/>
      <c r="AF2" s="33" t="n"/>
      <c r="AG2" s="33" t="n"/>
      <c r="AH2" s="33" t="n"/>
      <c r="AI2" s="33" t="n"/>
      <c r="AJ2" s="33" t="n"/>
      <c r="AK2" s="313" t="n"/>
      <c r="AL2" s="313" t="n"/>
      <c r="AM2" s="313" t="n"/>
      <c r="AO2" s="313" t="n"/>
      <c r="AP2" s="33" t="n"/>
      <c r="AQ2" s="33" t="n"/>
      <c r="AR2" s="33" t="n"/>
      <c r="AS2" s="33" t="n"/>
      <c r="AT2" s="33" t="n"/>
      <c r="AU2" s="33" t="n"/>
      <c r="AV2" s="33" t="n"/>
      <c r="AW2" s="33" t="n"/>
      <c r="AX2" s="33" t="n"/>
      <c r="AY2" s="33" t="n"/>
      <c r="AZ2" s="33" t="n"/>
      <c r="BA2" s="33" t="n"/>
      <c r="BB2" s="33" t="n"/>
      <c r="BC2" s="33" t="n"/>
      <c r="BD2" s="33" t="n"/>
      <c r="BH2" s="33" t="n"/>
      <c r="BI2" s="33" t="n"/>
      <c r="BJ2" s="33" t="n"/>
      <c r="BK2" s="33" t="n"/>
      <c r="BL2" s="33" t="n"/>
      <c r="BM2" s="33" t="n"/>
      <c r="BN2" s="33" t="n"/>
      <c r="BO2" s="33" t="n"/>
      <c r="BP2" s="33" t="n"/>
      <c r="BQ2" s="33" t="n"/>
      <c r="BR2" s="33" t="n"/>
      <c r="BS2" s="33" t="n"/>
      <c r="BT2" s="33" t="n"/>
      <c r="BU2" s="33" t="n"/>
      <c r="BV2" s="33" t="n"/>
    </row>
    <row r="3">
      <c r="B3" s="314" t="inlineStr">
        <is>
          <t>入力セル（手入力/プルダウンから選択）</t>
        </is>
      </c>
      <c r="Y3" s="242" t="n"/>
      <c r="Z3" s="242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13" t="n"/>
      <c r="AL3" s="313" t="n"/>
      <c r="AM3" s="313" t="n"/>
      <c r="AO3" s="313" t="n"/>
      <c r="AP3" s="33" t="n"/>
      <c r="AQ3" s="33" t="n"/>
      <c r="AR3" s="33" t="n"/>
      <c r="AS3" s="33" t="n"/>
      <c r="AT3" s="33" t="n"/>
      <c r="AU3" s="33" t="n"/>
      <c r="AV3" s="33" t="n"/>
      <c r="AW3" s="33" t="n"/>
      <c r="AX3" s="33" t="n"/>
      <c r="AY3" s="33" t="n"/>
      <c r="AZ3" s="33" t="n"/>
      <c r="BA3" s="33" t="n"/>
      <c r="BB3" s="33" t="n"/>
      <c r="BC3" s="33" t="n"/>
      <c r="BD3" s="33" t="n"/>
      <c r="BH3" s="33" t="n"/>
      <c r="BI3" s="33" t="n"/>
      <c r="BJ3" s="33" t="n"/>
      <c r="BK3" s="33" t="n"/>
      <c r="BL3" s="33" t="n"/>
      <c r="BM3" s="33" t="n"/>
      <c r="BN3" s="33" t="n"/>
      <c r="BO3" s="33" t="n"/>
      <c r="BP3" s="33" t="n"/>
      <c r="BQ3" s="33" t="n"/>
      <c r="BR3" s="33" t="n"/>
      <c r="BS3" s="33" t="n"/>
      <c r="BT3" s="33" t="n"/>
      <c r="BU3" s="33" t="n"/>
      <c r="BV3" s="33" t="n"/>
    </row>
    <row r="4">
      <c r="B4" s="271" t="inlineStr">
        <is>
          <t>デフォルト値</t>
        </is>
      </c>
      <c r="Y4" s="242" t="n"/>
      <c r="Z4" s="242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13" t="n"/>
      <c r="AL4" s="313" t="n"/>
      <c r="AM4" s="313" t="n"/>
      <c r="AO4" s="313" t="n"/>
      <c r="AP4" s="33" t="n"/>
      <c r="AQ4" s="33" t="n"/>
      <c r="AR4" s="33" t="n"/>
      <c r="AS4" s="33" t="n"/>
      <c r="AT4" s="33" t="n"/>
      <c r="AU4" s="33" t="n"/>
      <c r="AV4" s="33" t="n"/>
      <c r="AW4" s="33" t="n"/>
      <c r="AX4" s="33" t="n"/>
      <c r="AY4" s="33" t="n"/>
      <c r="AZ4" s="33" t="n"/>
      <c r="BA4" s="33" t="n"/>
      <c r="BB4" s="33" t="n"/>
      <c r="BC4" s="33" t="n"/>
      <c r="BD4" s="33" t="n"/>
      <c r="BH4" s="33" t="n"/>
      <c r="BI4" s="33" t="n"/>
      <c r="BJ4" s="33" t="n"/>
      <c r="BK4" s="33" t="n"/>
      <c r="BL4" s="33" t="n"/>
      <c r="BM4" s="33" t="n"/>
      <c r="BN4" s="33" t="n"/>
      <c r="BO4" s="33" t="n"/>
      <c r="BP4" s="33" t="n"/>
      <c r="BQ4" s="33" t="n"/>
      <c r="BR4" s="33" t="n"/>
      <c r="BS4" s="33" t="n"/>
      <c r="BT4" s="33" t="n"/>
      <c r="BU4" s="33" t="n"/>
      <c r="BV4" s="33" t="n"/>
    </row>
    <row r="5" ht="15.75" customHeight="1" s="302">
      <c r="B5" s="315" t="inlineStr">
        <is>
          <t>他セルからの参照（入力不要）</t>
        </is>
      </c>
      <c r="Y5" s="242" t="n"/>
      <c r="Z5" s="242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13" t="n"/>
      <c r="AL5" s="313" t="n"/>
      <c r="AM5" s="313" t="n"/>
      <c r="AO5" s="313" t="n"/>
      <c r="AP5" s="33" t="n"/>
      <c r="AQ5" s="33" t="n"/>
      <c r="AR5" s="33" t="n"/>
      <c r="AS5" s="33" t="n"/>
      <c r="AT5" s="33" t="n"/>
      <c r="AU5" s="33" t="n"/>
      <c r="AV5" s="33" t="n"/>
      <c r="AW5" s="33" t="n"/>
      <c r="AX5" s="33" t="n"/>
      <c r="AY5" s="33" t="n"/>
      <c r="AZ5" s="33" t="n"/>
      <c r="BA5" s="33" t="n"/>
      <c r="BB5" s="33" t="n"/>
      <c r="BC5" s="33" t="n"/>
      <c r="BD5" s="33" t="n"/>
      <c r="BH5" s="33" t="n"/>
      <c r="BI5" s="33" t="n"/>
      <c r="BJ5" s="33" t="n"/>
      <c r="BK5" s="33" t="n"/>
      <c r="BL5" s="33" t="n"/>
      <c r="BM5" s="33" t="n"/>
      <c r="BN5" s="33" t="n"/>
      <c r="BO5" s="33" t="n"/>
      <c r="BP5" s="33" t="n"/>
      <c r="BQ5" s="33" t="n"/>
      <c r="BR5" s="33" t="n"/>
      <c r="BS5" s="33" t="n"/>
      <c r="BT5" s="33" t="n"/>
      <c r="BU5" s="33" t="n"/>
      <c r="BV5" s="33" t="n"/>
    </row>
    <row r="6" ht="15.75" customHeight="1" s="302">
      <c r="Y6" s="242" t="n"/>
      <c r="Z6" s="242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13" t="n"/>
      <c r="AL6" s="313" t="n"/>
      <c r="AM6" s="313" t="n"/>
      <c r="AO6" s="313" t="n"/>
      <c r="AP6" s="33" t="n"/>
      <c r="AQ6" s="33" t="n"/>
      <c r="AR6" s="33" t="n"/>
      <c r="AS6" s="33" t="n"/>
      <c r="AT6" s="33" t="n"/>
      <c r="AU6" s="33" t="n"/>
      <c r="AV6" s="33" t="n"/>
      <c r="AW6" s="33" t="n"/>
      <c r="AX6" s="33" t="n"/>
      <c r="AY6" s="33" t="n"/>
      <c r="AZ6" s="33" t="n"/>
      <c r="BA6" s="33" t="n"/>
      <c r="BB6" s="33" t="n"/>
      <c r="BC6" s="33" t="n"/>
      <c r="BD6" s="33" t="n"/>
      <c r="BH6" s="33" t="n"/>
      <c r="BI6" s="33" t="n"/>
      <c r="BJ6" s="33" t="n"/>
      <c r="BK6" s="33" t="n"/>
      <c r="BL6" s="33" t="n"/>
      <c r="BM6" s="33" t="n"/>
      <c r="BN6" s="33" t="n"/>
      <c r="BO6" s="33" t="n"/>
      <c r="BP6" s="33" t="n"/>
      <c r="BQ6" s="33" t="n"/>
      <c r="BR6" s="33" t="n"/>
      <c r="BS6" s="33" t="n"/>
      <c r="BT6" s="33" t="n"/>
      <c r="BU6" s="33" t="n"/>
      <c r="BV6" s="33" t="n"/>
    </row>
    <row r="7" ht="15.75" customFormat="1" customHeight="1" s="4">
      <c r="A7" s="25" t="inlineStr">
        <is>
          <t>■前提条件入力</t>
        </is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4" t="inlineStr">
        <is>
          <t>■計算</t>
        </is>
      </c>
      <c r="K7" s="24" t="n"/>
      <c r="L7" s="24" t="n"/>
      <c r="M7" s="24" t="n"/>
      <c r="N7" s="85" t="n"/>
      <c r="O7" s="24" t="n"/>
      <c r="P7" s="24" t="n"/>
      <c r="Q7" s="24" t="n"/>
      <c r="R7" s="24" t="n"/>
      <c r="S7" s="24" t="n"/>
      <c r="T7" s="24" t="n"/>
      <c r="U7" s="24" t="n"/>
      <c r="V7" s="22" t="inlineStr">
        <is>
          <t>■収支（アウトプット）</t>
        </is>
      </c>
      <c r="W7" s="22" t="n"/>
      <c r="X7" s="22" t="n"/>
      <c r="Y7" s="22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316" t="n"/>
      <c r="AL7" s="316" t="n"/>
      <c r="AM7" s="316" t="n"/>
      <c r="AN7" s="316" t="n"/>
      <c r="AO7" s="316" t="n"/>
      <c r="AP7" s="23" t="n"/>
      <c r="AQ7" s="23" t="n"/>
      <c r="AR7" s="23" t="n"/>
      <c r="AS7" s="23" t="n"/>
      <c r="AT7" s="23" t="n"/>
      <c r="AU7" s="23" t="n"/>
      <c r="AV7" s="23" t="n"/>
      <c r="AW7" s="23" t="n"/>
      <c r="AX7" s="23" t="n"/>
      <c r="AY7" s="23" t="n"/>
      <c r="AZ7" s="23" t="n"/>
      <c r="BA7" s="23" t="n"/>
      <c r="BB7" s="23" t="n"/>
      <c r="BC7" s="23" t="n"/>
      <c r="BD7" s="23" t="n"/>
      <c r="BE7" s="23" t="n"/>
      <c r="BF7" s="316" t="n"/>
      <c r="BG7" s="23" t="n"/>
      <c r="BH7" s="23" t="n"/>
      <c r="BI7" s="23" t="n"/>
      <c r="BJ7" s="23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3" t="n"/>
      <c r="BV7" s="23" t="n"/>
      <c r="BW7" s="23" t="n"/>
      <c r="BX7" s="23" t="n"/>
      <c r="BY7" s="23" t="n"/>
      <c r="BZ7" s="23" t="n"/>
      <c r="CA7" s="23" t="n"/>
    </row>
    <row r="8" ht="15.75" customFormat="1" customHeight="1" s="4">
      <c r="A8" s="257" t="n"/>
      <c r="B8" s="273" t="inlineStr">
        <is>
          <t>※収入・費用は全て消費税抜で入力する</t>
        </is>
      </c>
      <c r="C8" s="257" t="n"/>
      <c r="D8" s="257" t="n"/>
      <c r="E8" s="257" t="n"/>
      <c r="F8" s="257" t="n"/>
      <c r="G8" s="257" t="n"/>
      <c r="H8" s="257" t="n"/>
      <c r="I8" s="257" t="n"/>
      <c r="N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317" t="n"/>
      <c r="AL8" s="317" t="n"/>
      <c r="AM8" s="317" t="n"/>
      <c r="AN8" s="317" t="n"/>
      <c r="AO8" s="317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317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</row>
    <row r="9" ht="15.75" customHeight="1" s="302" thickBot="1">
      <c r="W9" s="55" t="inlineStr">
        <is>
          <t>VFM</t>
        </is>
      </c>
      <c r="X9" s="50" t="n"/>
      <c r="Y9" s="50" t="n"/>
      <c r="AC9" s="8" t="inlineStr">
        <is>
          <t>SPC利回り</t>
        </is>
      </c>
    </row>
    <row r="10" ht="15.75" customHeight="1" s="302">
      <c r="D10" s="0" t="inlineStr">
        <is>
          <t>単位</t>
        </is>
      </c>
      <c r="K10" s="19" t="n"/>
      <c r="L10" s="19" t="n"/>
      <c r="M10" s="19" t="n"/>
      <c r="N10" s="19" t="inlineStr">
        <is>
          <t>単位</t>
        </is>
      </c>
      <c r="O10" s="19" t="n"/>
      <c r="P10" s="19" t="n"/>
      <c r="Q10" s="19" t="inlineStr">
        <is>
          <t>備考</t>
        </is>
      </c>
      <c r="R10" s="19" t="n"/>
      <c r="S10" s="19" t="n"/>
      <c r="T10" s="19" t="n"/>
      <c r="U10" s="19" t="n"/>
      <c r="W10" s="10" t="inlineStr">
        <is>
          <t>収支差額</t>
        </is>
      </c>
      <c r="X10" s="11" t="inlineStr">
        <is>
          <t>割引・リスク調整加算後</t>
        </is>
      </c>
      <c r="Y10" s="12" t="inlineStr">
        <is>
          <t>％</t>
        </is>
      </c>
      <c r="AC10" s="9" t="inlineStr">
        <is>
          <t>PIRR</t>
        </is>
      </c>
      <c r="BQ10" s="5" t="n"/>
      <c r="BR10" s="5" t="n"/>
      <c r="BS10" s="5" t="n"/>
      <c r="BT10" s="5" t="n"/>
      <c r="BY10" s="5" t="n"/>
    </row>
    <row r="11" ht="15.75" customHeight="1" s="302" thickBot="1">
      <c r="A11" s="4" t="inlineStr">
        <is>
          <t>１．共通条件</t>
        </is>
      </c>
      <c r="J11" s="4" t="inlineStr">
        <is>
          <t>１．共通条件</t>
        </is>
      </c>
      <c r="W11" s="318">
        <f>AL58-BC58</f>
        <v/>
      </c>
      <c r="X11" s="319">
        <f>AM58-BD58</f>
        <v/>
      </c>
      <c r="Y11" s="320">
        <f>X11/AM58</f>
        <v/>
      </c>
      <c r="AC11" s="321">
        <f>XIRR(BV17:BV56,V17:V56)</f>
        <v/>
      </c>
      <c r="AD11" s="56" t="inlineStr">
        <is>
          <t>借入金利以上であることを確認</t>
        </is>
      </c>
      <c r="BQ11" s="5" t="n"/>
      <c r="BR11" s="5" t="n"/>
      <c r="BS11" s="5" t="n"/>
      <c r="BT11" s="5" t="n"/>
      <c r="BY11" s="5" t="n"/>
    </row>
    <row r="12" ht="15.75" customHeight="1" s="302">
      <c r="AA12" s="0" t="n"/>
      <c r="AB12" s="0" t="n"/>
      <c r="AC12" s="0" t="n"/>
      <c r="AD12" s="0" t="n"/>
    </row>
    <row r="13" ht="15.75" customHeight="1" s="302">
      <c r="B13" s="0" t="inlineStr">
        <is>
          <t>1.1発注者区分</t>
        </is>
      </c>
      <c r="F13" s="322" t="inlineStr">
        <is>
          <t>市町村</t>
        </is>
      </c>
      <c r="J13" s="0" t="inlineStr">
        <is>
          <t>1.1発注者区分</t>
        </is>
      </c>
      <c r="O13" s="0" t="inlineStr">
        <is>
          <t>国</t>
        </is>
      </c>
      <c r="P13" s="0" t="inlineStr">
        <is>
          <t>都道府県</t>
        </is>
      </c>
      <c r="Q13" s="0" t="inlineStr">
        <is>
          <t>市町村</t>
        </is>
      </c>
      <c r="V13" s="5" t="inlineStr">
        <is>
          <t>スケジュール</t>
        </is>
      </c>
      <c r="W13" s="5" t="inlineStr">
        <is>
          <t>経過年度</t>
        </is>
      </c>
      <c r="X13" s="5" t="inlineStr">
        <is>
          <t>事業期間</t>
        </is>
      </c>
      <c r="Y13" s="59" t="inlineStr">
        <is>
          <t>PSC</t>
        </is>
      </c>
      <c r="Z13" s="60" t="n"/>
      <c r="AA13" s="60" t="n"/>
      <c r="AB13" s="60" t="n"/>
      <c r="AC13" s="60" t="n"/>
      <c r="AD13" s="60" t="n"/>
      <c r="AE13" s="60" t="n"/>
      <c r="AF13" s="60" t="n"/>
      <c r="AG13" s="60" t="n"/>
      <c r="AH13" s="60" t="n"/>
      <c r="AI13" s="60" t="n"/>
      <c r="AJ13" s="103" t="n"/>
      <c r="AK13" s="146" t="inlineStr">
        <is>
          <t>リスク調整額</t>
        </is>
      </c>
      <c r="AL13" s="323" t="n"/>
      <c r="AM13" s="96" t="n"/>
      <c r="AN13" s="32" t="n"/>
      <c r="AO13" s="208" t="inlineStr">
        <is>
          <t>PFI-LCC</t>
        </is>
      </c>
      <c r="AP13" s="209" t="n"/>
      <c r="AQ13" s="209" t="n"/>
      <c r="AR13" s="209" t="n"/>
      <c r="AS13" s="209" t="n"/>
      <c r="AT13" s="209" t="n"/>
      <c r="AU13" s="209" t="n"/>
      <c r="AV13" s="209" t="n"/>
      <c r="AW13" s="209" t="n"/>
      <c r="AX13" s="209" t="n"/>
      <c r="AY13" s="209" t="n"/>
      <c r="AZ13" s="209" t="n"/>
      <c r="BA13" s="209" t="n"/>
      <c r="BB13" s="209" t="n"/>
      <c r="BC13" s="210" t="n"/>
      <c r="BD13" s="211" t="inlineStr">
        <is>
          <t>収支</t>
        </is>
      </c>
      <c r="BE13" s="33" t="n"/>
      <c r="BF13" s="19" t="n"/>
      <c r="BH13" s="65" t="inlineStr">
        <is>
          <t>SPC</t>
        </is>
      </c>
      <c r="BI13" s="66" t="n"/>
      <c r="BJ13" s="66" t="n"/>
      <c r="BK13" s="66" t="n"/>
      <c r="BL13" s="66" t="n"/>
      <c r="BM13" s="66" t="n"/>
      <c r="BN13" s="66" t="n"/>
      <c r="BO13" s="66" t="n"/>
      <c r="BP13" s="66" t="n"/>
      <c r="BQ13" s="66" t="n"/>
      <c r="BR13" s="66" t="n"/>
      <c r="BS13" s="66" t="n"/>
      <c r="BT13" s="66" t="n"/>
      <c r="BU13" s="66" t="n"/>
      <c r="BV13" s="136" t="n"/>
      <c r="BX13" s="84" t="inlineStr">
        <is>
          <t>借入金元本返済</t>
        </is>
      </c>
      <c r="BY13" s="84" t="inlineStr">
        <is>
          <t>Checks</t>
        </is>
      </c>
    </row>
    <row r="14" ht="15.75" customHeight="1" s="302">
      <c r="B14" s="0" t="inlineStr">
        <is>
          <t>1.2事業方式</t>
        </is>
      </c>
      <c r="D14" s="0" t="inlineStr">
        <is>
          <t>-</t>
        </is>
      </c>
      <c r="F14" s="324" t="inlineStr">
        <is>
          <t>BOT/BOO</t>
        </is>
      </c>
      <c r="Y14" s="59" t="inlineStr">
        <is>
          <t>収入</t>
        </is>
      </c>
      <c r="Z14" s="60" t="n"/>
      <c r="AA14" s="60" t="n"/>
      <c r="AB14" s="60" t="n"/>
      <c r="AC14" s="61" t="n"/>
      <c r="AD14" s="59" t="inlineStr">
        <is>
          <t>支出</t>
        </is>
      </c>
      <c r="AE14" s="60" t="n"/>
      <c r="AF14" s="60" t="n"/>
      <c r="AG14" s="60" t="n"/>
      <c r="AH14" s="60" t="n"/>
      <c r="AI14" s="325" t="n"/>
      <c r="AJ14" s="326" t="inlineStr">
        <is>
          <t>収支</t>
        </is>
      </c>
      <c r="AK14" s="96" t="n"/>
      <c r="AL14" s="327" t="n"/>
      <c r="AM14" s="328" t="inlineStr">
        <is>
          <t>収支</t>
        </is>
      </c>
      <c r="AN14" s="32" t="n"/>
      <c r="AO14" s="63" t="inlineStr">
        <is>
          <t>収入</t>
        </is>
      </c>
      <c r="AP14" s="62" t="n"/>
      <c r="AQ14" s="62" t="n"/>
      <c r="AR14" s="62" t="n"/>
      <c r="AS14" s="64" t="n"/>
      <c r="AT14" s="62" t="inlineStr">
        <is>
          <t>支出</t>
        </is>
      </c>
      <c r="AU14" s="62" t="n"/>
      <c r="AV14" s="62" t="n"/>
      <c r="AW14" s="62" t="n"/>
      <c r="AX14" s="62" t="n"/>
      <c r="AY14" s="62" t="n"/>
      <c r="AZ14" s="62" t="n"/>
      <c r="BA14" s="62" t="n"/>
      <c r="BB14" s="64" t="n"/>
      <c r="BC14" s="35" t="inlineStr">
        <is>
          <t>収支</t>
        </is>
      </c>
      <c r="BD14" s="35" t="inlineStr">
        <is>
          <t>（現在価値割引後）</t>
        </is>
      </c>
      <c r="BE14" s="33" t="n"/>
      <c r="BF14" s="19" t="n"/>
      <c r="BH14" s="65" t="inlineStr">
        <is>
          <t>収入</t>
        </is>
      </c>
      <c r="BI14" s="66" t="n"/>
      <c r="BJ14" s="66" t="n"/>
      <c r="BK14" s="66" t="n"/>
      <c r="BL14" s="66" t="n"/>
      <c r="BM14" s="66" t="n"/>
      <c r="BN14" s="67" t="n"/>
      <c r="BO14" s="65" t="inlineStr">
        <is>
          <t>支出</t>
        </is>
      </c>
      <c r="BP14" s="66" t="n"/>
      <c r="BQ14" s="66" t="n"/>
      <c r="BR14" s="66" t="n"/>
      <c r="BS14" s="66" t="n"/>
      <c r="BT14" s="66" t="n"/>
      <c r="BU14" s="67" t="n"/>
      <c r="BV14" s="44" t="inlineStr">
        <is>
          <t>収支</t>
        </is>
      </c>
      <c r="BX14" s="91" t="n"/>
      <c r="BY14" s="288" t="inlineStr">
        <is>
          <t>割賦収入＞SPC支払</t>
        </is>
      </c>
    </row>
    <row r="15" ht="32.25" customFormat="1" customHeight="1" s="242">
      <c r="Y15" s="39" t="inlineStr">
        <is>
          <t>補助金</t>
        </is>
      </c>
      <c r="Z15" s="40" t="inlineStr">
        <is>
          <t>交付金</t>
        </is>
      </c>
      <c r="AA15" s="40" t="inlineStr">
        <is>
          <t>起債発行額</t>
        </is>
      </c>
      <c r="AB15" s="40" t="inlineStr">
        <is>
          <t>利用料金
収入</t>
        </is>
      </c>
      <c r="AC15" s="41" t="inlineStr">
        <is>
          <t>収入計</t>
        </is>
      </c>
      <c r="AD15" s="39" t="inlineStr">
        <is>
          <t>施設整備
費用</t>
        </is>
      </c>
      <c r="AE15" s="40" t="inlineStr">
        <is>
          <t>維持管理運営費用</t>
        </is>
      </c>
      <c r="AF15" s="40" t="inlineStr">
        <is>
          <t>モニタリングコスト</t>
        </is>
      </c>
      <c r="AG15" s="40" t="inlineStr">
        <is>
          <t>起債償還額</t>
        </is>
      </c>
      <c r="AH15" s="40" t="inlineStr">
        <is>
          <t>起債利息</t>
        </is>
      </c>
      <c r="AI15" s="329" t="inlineStr">
        <is>
          <t>支出計</t>
        </is>
      </c>
      <c r="AJ15" s="330" t="n"/>
      <c r="AK15" s="83" t="inlineStr">
        <is>
          <t>官民利払費用の差</t>
        </is>
      </c>
      <c r="AL15" s="329" t="inlineStr">
        <is>
          <t>合計</t>
        </is>
      </c>
      <c r="AM15" s="331" t="inlineStr">
        <is>
          <t>（現在価値割引後）</t>
        </is>
      </c>
      <c r="AN15" s="32" t="n"/>
      <c r="AO15" s="86" t="inlineStr">
        <is>
          <t>補助金</t>
        </is>
      </c>
      <c r="AP15" s="87" t="inlineStr">
        <is>
          <t>交付金</t>
        </is>
      </c>
      <c r="AQ15" s="87" t="inlineStr">
        <is>
          <t>起債発行額</t>
        </is>
      </c>
      <c r="AR15" s="87" t="inlineStr">
        <is>
          <t>税収</t>
        </is>
      </c>
      <c r="AS15" s="43" t="inlineStr">
        <is>
          <t>収入計</t>
        </is>
      </c>
      <c r="AT15" s="87" t="inlineStr">
        <is>
          <t>施設整備サービス対価（一括払）</t>
        </is>
      </c>
      <c r="AU15" s="87" t="inlineStr">
        <is>
          <t>施設整備サービス対価（割賦元本）</t>
        </is>
      </c>
      <c r="AV15" s="87" t="inlineStr">
        <is>
          <t>施設整備サービス対価（割賦金利）</t>
        </is>
      </c>
      <c r="AW15" s="87" t="inlineStr">
        <is>
          <t>維持管理費
サービス対価</t>
        </is>
      </c>
      <c r="AX15" s="87" t="inlineStr">
        <is>
          <t>その他費用</t>
        </is>
      </c>
      <c r="AY15" s="87" t="inlineStr">
        <is>
          <t>SPC費用</t>
        </is>
      </c>
      <c r="AZ15" s="87" t="inlineStr">
        <is>
          <t>起債償還額</t>
        </is>
      </c>
      <c r="BA15" s="87" t="inlineStr">
        <is>
          <t>起債利息</t>
        </is>
      </c>
      <c r="BB15" s="43" t="inlineStr">
        <is>
          <t>支出計</t>
        </is>
      </c>
      <c r="BC15" s="88" t="n"/>
      <c r="BD15" s="43" t="n"/>
      <c r="BE15" s="33" t="n"/>
      <c r="BF15" s="262" t="inlineStr">
        <is>
          <t>割引係数</t>
        </is>
      </c>
      <c r="BG15" s="33" t="n"/>
      <c r="BH15" s="45" t="inlineStr">
        <is>
          <t>施設整備サービス対価（一括払）</t>
        </is>
      </c>
      <c r="BI15" s="37" t="inlineStr">
        <is>
          <t>施設整備サービス対価（割賦元本）</t>
        </is>
      </c>
      <c r="BJ15" s="37" t="inlineStr">
        <is>
          <t>施設整備サービス対価（割賦金利）</t>
        </is>
      </c>
      <c r="BK15" s="37" t="inlineStr">
        <is>
          <t>維持管理費
サービス対価</t>
        </is>
      </c>
      <c r="BL15" s="37" t="inlineStr">
        <is>
          <t>SPC費用
サービス対価</t>
        </is>
      </c>
      <c r="BM15" s="37" t="inlineStr">
        <is>
          <t>利用料金
収入</t>
        </is>
      </c>
      <c r="BN15" s="38" t="inlineStr">
        <is>
          <t>収入計</t>
        </is>
      </c>
      <c r="BO15" s="37" t="inlineStr">
        <is>
          <t>施設整備費用</t>
        </is>
      </c>
      <c r="BP15" s="37" t="inlineStr">
        <is>
          <t>維持管理費</t>
        </is>
      </c>
      <c r="BQ15" s="37" t="inlineStr">
        <is>
          <t>支払利息</t>
        </is>
      </c>
      <c r="BR15" s="37" t="inlineStr">
        <is>
          <t>SPC経費</t>
        </is>
      </c>
      <c r="BS15" s="37" t="inlineStr">
        <is>
          <t>SPC当初費用
(設立費用・予備費)
費用</t>
        </is>
      </c>
      <c r="BT15" s="37" t="inlineStr">
        <is>
          <t>法人税
・公租公課</t>
        </is>
      </c>
      <c r="BU15" s="38" t="inlineStr">
        <is>
          <t>支出計</t>
        </is>
      </c>
      <c r="BV15" s="38" t="n"/>
      <c r="BW15" s="33" t="n"/>
      <c r="BX15" s="92" t="n"/>
      <c r="BY15" s="332">
        <f>IF(SUM(BY17:BY46)=0,0,1)</f>
        <v/>
      </c>
      <c r="BZ15" s="33" t="n"/>
    </row>
    <row r="16" ht="15.75" customHeight="1" s="302">
      <c r="B16" s="0" t="inlineStr">
        <is>
          <t>1.3事業期間</t>
        </is>
      </c>
      <c r="C16" s="0" t="inlineStr">
        <is>
          <t>整備期間</t>
        </is>
      </c>
      <c r="D16" s="0" t="inlineStr">
        <is>
          <t>年</t>
        </is>
      </c>
      <c r="F16" s="333" t="n">
        <v>3</v>
      </c>
      <c r="J16" s="258" t="inlineStr">
        <is>
          <t>1.3事業期間（全体）</t>
        </is>
      </c>
      <c r="K16" s="242" t="n"/>
      <c r="L16" s="242" t="n"/>
      <c r="M16" s="242" t="n"/>
      <c r="N16" s="33" t="inlineStr">
        <is>
          <t>年</t>
        </is>
      </c>
      <c r="O16" s="423">
        <f>SUM(F16:F17)</f>
        <v/>
      </c>
      <c r="V16" s="104" t="n"/>
      <c r="Y16" s="335" t="n"/>
      <c r="Z16" s="336" t="n"/>
      <c r="AA16" s="336" t="n"/>
      <c r="AB16" s="336" t="n"/>
      <c r="AC16" s="336" t="n"/>
      <c r="AD16" s="336" t="n"/>
      <c r="AE16" s="336" t="n"/>
      <c r="AF16" s="336" t="n"/>
      <c r="AG16" s="403" t="n"/>
      <c r="AH16" s="336" t="n"/>
      <c r="AI16" s="336" t="n"/>
      <c r="AJ16" s="336" t="n"/>
      <c r="AK16" s="337" t="n"/>
      <c r="AL16" s="338">
        <f>-SUM(BS17,SUM(BR17:BR46),O105,O110)</f>
        <v/>
      </c>
      <c r="AM16" s="338">
        <f>AL16*BF16</f>
        <v/>
      </c>
      <c r="AN16" s="337" t="n"/>
      <c r="AO16" s="339" t="n"/>
      <c r="AP16" s="336" t="n"/>
      <c r="AQ16" s="336" t="n"/>
      <c r="AR16" s="336" t="n"/>
      <c r="AS16" s="336" t="n"/>
      <c r="AT16" s="336" t="n"/>
      <c r="AU16" s="336" t="n"/>
      <c r="AV16" s="336" t="n"/>
      <c r="AW16" s="336" t="n"/>
      <c r="AX16" s="403" t="n"/>
      <c r="AY16" s="336" t="n"/>
      <c r="AZ16" s="403" t="n"/>
      <c r="BA16" s="336" t="n"/>
      <c r="BB16" s="336" t="n"/>
      <c r="BC16" s="336" t="n"/>
      <c r="BD16" s="340" t="n"/>
      <c r="BE16" s="312" t="n"/>
      <c r="BF16" s="341" t="n">
        <v>1</v>
      </c>
      <c r="BH16" s="339" t="n"/>
      <c r="BI16" s="336" t="n"/>
      <c r="BJ16" s="336" t="n"/>
      <c r="BK16" s="336" t="n"/>
      <c r="BL16" s="336" t="n"/>
      <c r="BM16" s="336" t="n"/>
      <c r="BN16" s="336" t="n"/>
      <c r="BO16" s="336" t="n"/>
      <c r="BP16" s="336" t="n"/>
      <c r="BQ16" s="336" t="n"/>
      <c r="BR16" s="336" t="n"/>
      <c r="BS16" s="336" t="n"/>
      <c r="BT16" s="336" t="n"/>
      <c r="BU16" s="336" t="n"/>
      <c r="BV16" s="336" t="n"/>
      <c r="BW16" s="342" t="n"/>
      <c r="BX16" s="343" t="n"/>
      <c r="BY16" s="283" t="n"/>
      <c r="CA16" s="0" t="n"/>
    </row>
    <row r="17" ht="15.75" customHeight="1" s="302">
      <c r="C17" s="0" t="inlineStr">
        <is>
          <t>維持管理・運営期間</t>
        </is>
      </c>
      <c r="D17" s="0" t="inlineStr">
        <is>
          <t>年</t>
        </is>
      </c>
      <c r="F17" s="333" t="n">
        <v>20</v>
      </c>
      <c r="J17" s="114" t="n"/>
      <c r="V17" s="58">
        <f>IF(W17=1,DATE(YEAR($F$18)+(MONTH($F$18)&gt;=4),4,0),EOMONTH(V15,12))</f>
        <v/>
      </c>
      <c r="W17" s="6" t="n">
        <v>1</v>
      </c>
      <c r="X17" s="282">
        <f>IF(W17&gt;$O$16,"-",IF($W17&lt;=$F$16,"整備期間","維持管理・運営期間"))</f>
        <v/>
      </c>
      <c r="Y17" s="344">
        <f>IF($W17=$F$16,$O$61,0)</f>
        <v/>
      </c>
      <c r="Z17" s="345">
        <f>IF($W17=$F$16,$O$63,0)</f>
        <v/>
      </c>
      <c r="AA17" s="345">
        <f>IF($W17=$F$16,$O$62,0)</f>
        <v/>
      </c>
      <c r="AB17" s="345">
        <f>IF(X17="維持管理・運営期間",$F$56,0)</f>
        <v/>
      </c>
      <c r="AC17" s="346">
        <f>SUM(Y17:Z17,AB17)</f>
        <v/>
      </c>
      <c r="AD17" s="344">
        <f>IF($W17=$F$16,$O$30,0)</f>
        <v/>
      </c>
      <c r="AE17" s="345">
        <f>IF($X17="維持管理・運営期間",$O$41,0)</f>
        <v/>
      </c>
      <c r="AF17" s="345">
        <f>IF(AND($W17&gt;0,$W17&lt;=$O$16),$E$45,0)</f>
        <v/>
      </c>
      <c r="AG17" s="396">
        <f>IF(AND(SUM($AA$16:AA16)&gt;0,SUM($AG$16:AG16)&lt;$O$62,$W17&gt;=$O$65),$O$64,0)</f>
        <v/>
      </c>
      <c r="AH17" s="396">
        <f>IF(SUM($AA16:$AA$17)&gt;0,($O$62-SUM($AG16:$AG$17))*$E$65,0)</f>
        <v/>
      </c>
      <c r="AI17" s="346">
        <f>SUM(AD17:AF17)</f>
        <v/>
      </c>
      <c r="AJ17" s="345">
        <f>AC17-AI17</f>
        <v/>
      </c>
      <c r="AK17" s="347" t="n"/>
      <c r="AL17" s="348" t="n"/>
      <c r="AM17" s="346">
        <f>AJ17*$BF17</f>
        <v/>
      </c>
      <c r="AN17" s="349" t="n"/>
      <c r="AO17" s="344">
        <f>IF($W17=$F$16,$P$61,0)</f>
        <v/>
      </c>
      <c r="AP17" s="345">
        <f>IF($W17=$F$16,$P$63,0)</f>
        <v/>
      </c>
      <c r="AQ17" s="345">
        <f>IF($W17=$F$16,$P$62,0)</f>
        <v/>
      </c>
      <c r="AR17" s="345">
        <f>IF($W17&lt;$O$16,IF(W17=$F$16,$U$92,$U$93),0)</f>
        <v/>
      </c>
      <c r="AS17" s="346">
        <f>SUM(AO17:AP17,AR17)</f>
        <v/>
      </c>
      <c r="AT17" s="345">
        <f>IF(W17=$F$16,$P$30,0)</f>
        <v/>
      </c>
      <c r="AU17" s="345">
        <f>IFERROR(-PPMT($P$36,W17-$F$16,$F$17,SUM(P$31,P$51)),0)</f>
        <v/>
      </c>
      <c r="AV17" s="345">
        <f>IFERROR(-IPMT($P$36,W17-$F$16,$F$17,SUM($P$31,$P$51)),0)</f>
        <v/>
      </c>
      <c r="AW17" s="345">
        <f>IF(AND(W17&gt;$F$16,W17&lt;=SUM($F$16:$F$17)),$P$43,0)</f>
        <v/>
      </c>
      <c r="AX17" s="424">
        <f>IF($W17=1,$F$44,0)+IF(AND($W17&gt;0,$W17&lt;=$O$16),$F$45,0)</f>
        <v/>
      </c>
      <c r="AY17" s="425">
        <f>IF(AND(W17&gt;$F$16,W17&lt;=SUM($F$16:$F$17)),$P$54,0)</f>
        <v/>
      </c>
      <c r="AZ17" s="424">
        <f>IF(AND(SUM($AQ$16:AQ16)&gt;0,SUM($AZ$16:AZ16)&lt;$P$62,$W17&gt;=$P$65),$P$64,0)</f>
        <v/>
      </c>
      <c r="BA17" s="345">
        <f>IF(SUM($AQ16:$AQ$17)&gt;0,($P$62-SUM($AZ16:$AZ$17))*$F$65,0)</f>
        <v/>
      </c>
      <c r="BB17" s="346">
        <f>SUM(AT17:AY17)</f>
        <v/>
      </c>
      <c r="BC17" s="345">
        <f>AS17-BB17</f>
        <v/>
      </c>
      <c r="BD17" s="346">
        <f>BC17*$BF17</f>
        <v/>
      </c>
      <c r="BE17" s="393" t="n"/>
      <c r="BF17" s="46">
        <f>1/(1+$O$22)</f>
        <v/>
      </c>
      <c r="BH17" s="350">
        <f>AT17</f>
        <v/>
      </c>
      <c r="BI17" s="350">
        <f>AU17</f>
        <v/>
      </c>
      <c r="BJ17" s="351">
        <f>AV17</f>
        <v/>
      </c>
      <c r="BK17" s="351">
        <f>AW17</f>
        <v/>
      </c>
      <c r="BL17" s="351">
        <f>AY17</f>
        <v/>
      </c>
      <c r="BM17" s="351">
        <f>IF($W17&gt;$F$16,$F$56,0)</f>
        <v/>
      </c>
      <c r="BN17" s="352">
        <f>SUM(BH17:BM17)</f>
        <v/>
      </c>
      <c r="BO17" s="351">
        <f>IF($W17=$F$16,$P$32,0)</f>
        <v/>
      </c>
      <c r="BP17" s="351">
        <f>IF(AND(W17&gt;$F$16,W17&lt;=SUM($F$16:$F$17)),$P$41,0)</f>
        <v/>
      </c>
      <c r="BQ17" s="351">
        <f>IFERROR(-IPMT($P$67,W17-$F$16,$F$17,SUM(P$31,P$51)),0)</f>
        <v/>
      </c>
      <c r="BR17" s="351">
        <f>IF($W17&lt;=$O$16,$F$105,0)</f>
        <v/>
      </c>
      <c r="BS17" s="353">
        <f>IF($W17=1,SUM($O$103,$O$105),0)</f>
        <v/>
      </c>
      <c r="BT17" s="351">
        <f t="array" ref="BT17">IF($W17&lt;=$O$16,_xlfn.IFS(W17&lt;$F$16,$P$92,W17=$F$16,$P$93,W17&gt;$F$16,$P$94),0)</f>
        <v/>
      </c>
      <c r="BU17" s="352">
        <f>SUM(BO17:BP17,BR17:BT17)</f>
        <v/>
      </c>
      <c r="BV17" s="352">
        <f>BN17-BU17</f>
        <v/>
      </c>
      <c r="BW17" s="342" t="n"/>
      <c r="BX17" s="338">
        <f>IFERROR(-PPMT($P$67,$W17-$F$16,$F$17,SUM(P$31,P$51)),0)</f>
        <v/>
      </c>
      <c r="BY17" s="354" t="n"/>
      <c r="CA17" s="0" t="n"/>
    </row>
    <row r="18" ht="15.75" customHeight="1" s="302">
      <c r="C18" s="0" t="inlineStr">
        <is>
          <t>整備期間開始日</t>
        </is>
      </c>
      <c r="F18" s="68" t="n">
        <v>45383</v>
      </c>
      <c r="J18" s="114" t="n"/>
      <c r="V18" s="58">
        <f>IF(W18=1,DATE(YEAR($F$18)+(MONTH($F$18)&gt;=4),4,0),EOMONTH(V17,12))</f>
        <v/>
      </c>
      <c r="W18" s="7" t="n">
        <v>2</v>
      </c>
      <c r="X18" s="282">
        <f>IF(W18&gt;$O$16,"-",IF($W18&lt;=$F$16,"整備期間","維持管理・運営期間"))</f>
        <v/>
      </c>
      <c r="Y18" s="344">
        <f>IF($W18=$F$16,$O$61,0)</f>
        <v/>
      </c>
      <c r="Z18" s="345">
        <f>IF($W18=$F$16,$O$63,0)</f>
        <v/>
      </c>
      <c r="AA18" s="345">
        <f>IF($W18=$F$16,$O$62,0)</f>
        <v/>
      </c>
      <c r="AB18" s="345">
        <f>IF(X18="維持管理・運営期間",$F$56,0)</f>
        <v/>
      </c>
      <c r="AC18" s="346">
        <f>SUM(Y18:Z18,AB18)</f>
        <v/>
      </c>
      <c r="AD18" s="344">
        <f>IF($W18=$F$16,$O$30,0)</f>
        <v/>
      </c>
      <c r="AE18" s="345">
        <f>IF($X18="維持管理・運営期間",$O$41,0)</f>
        <v/>
      </c>
      <c r="AF18" s="345">
        <f>IF(AND($W18&gt;0,$W18&lt;=$O$16),$E$45,0)</f>
        <v/>
      </c>
      <c r="AG18" s="396">
        <f>IF(AND(SUM($AA$16:AA17)&gt;0,SUM($AG$16:AG17)&lt;$O$62,$W18&gt;=$O$65),$O$64,0)</f>
        <v/>
      </c>
      <c r="AH18" s="353">
        <f>IF(SUM($AA17:$AA$17)&gt;0,($O$62-SUM($AG17:$AG$17))*$E$65,0)</f>
        <v/>
      </c>
      <c r="AI18" s="346">
        <f>SUM(AD18:AF18)</f>
        <v/>
      </c>
      <c r="AJ18" s="351">
        <f>AC18-AI18</f>
        <v/>
      </c>
      <c r="AK18" s="347" t="n"/>
      <c r="AL18" s="348" t="n"/>
      <c r="AM18" s="352">
        <f>AJ18*$BF18</f>
        <v/>
      </c>
      <c r="AN18" s="349" t="n"/>
      <c r="AO18" s="350">
        <f>IF($W18=$F$16,$P$61,0)</f>
        <v/>
      </c>
      <c r="AP18" s="351">
        <f>IF($W18=$F$16,$P$63,0)</f>
        <v/>
      </c>
      <c r="AQ18" s="351">
        <f>IF($W18=$F$16,$P$62,0)</f>
        <v/>
      </c>
      <c r="AR18" s="345">
        <f>IF($W18&lt;$O$16,IF(W18=$F$16,$U$92,$U$93),0)</f>
        <v/>
      </c>
      <c r="AS18" s="346">
        <f>SUM(AO18:AP18,AR18)</f>
        <v/>
      </c>
      <c r="AT18" s="345">
        <f>IF(W18=$F$16,$P$30,0)</f>
        <v/>
      </c>
      <c r="AU18" s="345">
        <f>IFERROR(-PPMT($P$36,W18-$F$16,$F$17,SUM(P$31,P$51)),0)</f>
        <v/>
      </c>
      <c r="AV18" s="345">
        <f>IFERROR(-IPMT($P$36,W18-$F$16,$F$17,SUM($P$31,$P$51)),0)</f>
        <v/>
      </c>
      <c r="AW18" s="345">
        <f>IF(AND(W18&gt;$F$16,W18&lt;=SUM($F$16:$F$17)),$P$43,0)</f>
        <v/>
      </c>
      <c r="AX18" s="424">
        <f>IF($W18=1,$F$44,0)+IF(AND($W18&gt;0,$W18&lt;=$O$16),$F$45,0)</f>
        <v/>
      </c>
      <c r="AY18" s="425">
        <f>IF(AND(W18&gt;$F$16,W18&lt;=SUM($F$16:$F$17)),$P$54,0)</f>
        <v/>
      </c>
      <c r="AZ18" s="424">
        <f>IF(AND(SUM($AQ$16:AQ17)&gt;0,SUM($AZ$16:AZ17)&lt;$P$62,$W18&gt;=$P$65),$P$64,0)</f>
        <v/>
      </c>
      <c r="BA18" s="345">
        <f>IF(SUM($AQ17:$AQ$17)&gt;0,($P$62-SUM($AZ17:$AZ$17))*$F$65,0)</f>
        <v/>
      </c>
      <c r="BB18" s="346">
        <f>SUM(AT18:AY18)</f>
        <v/>
      </c>
      <c r="BC18" s="351">
        <f>AS18-BB18</f>
        <v/>
      </c>
      <c r="BD18" s="352">
        <f>BC18*$BF18</f>
        <v/>
      </c>
      <c r="BE18" s="393" t="n"/>
      <c r="BF18" s="46">
        <f>BF17/(1+$O$22)</f>
        <v/>
      </c>
      <c r="BH18" s="350">
        <f>AT18</f>
        <v/>
      </c>
      <c r="BI18" s="350">
        <f>AU18</f>
        <v/>
      </c>
      <c r="BJ18" s="351">
        <f>AV18</f>
        <v/>
      </c>
      <c r="BK18" s="351">
        <f>AW18</f>
        <v/>
      </c>
      <c r="BL18" s="351">
        <f>AY18</f>
        <v/>
      </c>
      <c r="BM18" s="351">
        <f>IF($W18&gt;$F$16,$F$56,0)</f>
        <v/>
      </c>
      <c r="BN18" s="352">
        <f>SUM(BH18:BM18)</f>
        <v/>
      </c>
      <c r="BO18" s="351">
        <f>IF($W18=$F$16,$P$32,0)</f>
        <v/>
      </c>
      <c r="BP18" s="351">
        <f>IF(AND(W18&gt;$F$16,W18&lt;=SUM($F$16:$F$17)),$P$41,0)</f>
        <v/>
      </c>
      <c r="BQ18" s="351">
        <f>IFERROR(-IPMT($P$67,W18-$F$16,$F$17,SUM(P$31,P$51)),0)</f>
        <v/>
      </c>
      <c r="BR18" s="351">
        <f>IF($W18&lt;=$O$16,$F$105,0)</f>
        <v/>
      </c>
      <c r="BS18" s="353">
        <f>IF($W18=1,SUM($O$103,$O$105),0)</f>
        <v/>
      </c>
      <c r="BT18" s="351">
        <f t="array" ref="BT18">IF($W18&lt;=$O$16,_xlfn.IFS(W18&lt;$F$16,$P$92,W18=$F$16,$P$93,W18&gt;$F$16,$P$94),0)</f>
        <v/>
      </c>
      <c r="BU18" s="352">
        <f>SUM(BO18:BP18,BR18:BT18)</f>
        <v/>
      </c>
      <c r="BV18" s="352">
        <f>BN18-BU18</f>
        <v/>
      </c>
      <c r="BW18" s="342" t="n"/>
      <c r="BX18" s="338">
        <f>IFERROR(-PPMT($P$67,$W18-$F$16,$F$17,SUM(P$31,P$51)),0)</f>
        <v/>
      </c>
      <c r="BY18" s="355" t="n"/>
      <c r="CA18" s="0" t="n"/>
    </row>
    <row r="19" ht="15.75" customHeight="1" s="302">
      <c r="C19" s="0" t="inlineStr">
        <is>
          <t>整備期間終了日</t>
        </is>
      </c>
      <c r="F19" s="137">
        <f>EOMONTH(F18,12*F16-1)</f>
        <v/>
      </c>
      <c r="J19" s="114" t="n"/>
      <c r="V19" s="58">
        <f>IF(W19=1,DATE(YEAR($F$18)+(MONTH($F$18)&gt;=4),4,0),EOMONTH(V18,12))</f>
        <v/>
      </c>
      <c r="W19" s="7" t="n">
        <v>3</v>
      </c>
      <c r="X19" s="282">
        <f>IF(W19&gt;$O$16,"-",IF($W19&lt;=$F$16,"整備期間","維持管理・運営期間"))</f>
        <v/>
      </c>
      <c r="Y19" s="344">
        <f>IF($W19=$F$16,$O$61,0)</f>
        <v/>
      </c>
      <c r="Z19" s="345">
        <f>IF($W19=$F$16,$O$63,0)</f>
        <v/>
      </c>
      <c r="AA19" s="345">
        <f>IF($W19=$F$16,$O$62,0)</f>
        <v/>
      </c>
      <c r="AB19" s="345">
        <f>IF(X19="維持管理・運営期間",$F$56,0)</f>
        <v/>
      </c>
      <c r="AC19" s="346">
        <f>SUM(Y19:Z19,AB19)</f>
        <v/>
      </c>
      <c r="AD19" s="344">
        <f>IF($W19=$F$16,$O$30,0)</f>
        <v/>
      </c>
      <c r="AE19" s="345">
        <f>IF($X19="維持管理・運営期間",$O$41,0)</f>
        <v/>
      </c>
      <c r="AF19" s="345">
        <f>IF(AND($W19&gt;0,$W19&lt;=$O$16),$E$45,0)</f>
        <v/>
      </c>
      <c r="AG19" s="396">
        <f>IF(AND(SUM($AA$16:AA18)&gt;0,SUM($AG$16:AG18)&lt;$O$62,$W19&gt;=$O$65),$O$64,0)</f>
        <v/>
      </c>
      <c r="AH19" s="353">
        <f>IF(SUM($AA$17:$AA18)&gt;0,($O$62-SUM($AG$17:$AG18))*$E$65,0)</f>
        <v/>
      </c>
      <c r="AI19" s="346">
        <f>SUM(AD19:AF19)</f>
        <v/>
      </c>
      <c r="AJ19" s="351">
        <f>AC19-AI19</f>
        <v/>
      </c>
      <c r="AK19" s="347" t="n"/>
      <c r="AL19" s="348" t="n"/>
      <c r="AM19" s="352">
        <f>AJ19*$BF19</f>
        <v/>
      </c>
      <c r="AN19" s="349" t="n"/>
      <c r="AO19" s="350">
        <f>IF($W19=$F$16,$P$61,0)</f>
        <v/>
      </c>
      <c r="AP19" s="351">
        <f>IF($W19=$F$16,$P$63,0)</f>
        <v/>
      </c>
      <c r="AQ19" s="351">
        <f>IF($W19=$F$16,$P$62,0)</f>
        <v/>
      </c>
      <c r="AR19" s="345">
        <f>IF($W19&lt;$O$16,IF(W19=$F$16,$U$92,$U$93),0)</f>
        <v/>
      </c>
      <c r="AS19" s="346">
        <f>SUM(AO19:AP19,AR19)</f>
        <v/>
      </c>
      <c r="AT19" s="345">
        <f>IF(W19=$F$16,$P$30,0)</f>
        <v/>
      </c>
      <c r="AU19" s="345">
        <f>IFERROR(-PPMT($P$36,W19-$F$16,$F$17,SUM(P$31,P$51)),0)</f>
        <v/>
      </c>
      <c r="AV19" s="345">
        <f>IFERROR(-IPMT($P$36,W19-$F$16,$F$17,SUM($P$31,$P$51)),0)</f>
        <v/>
      </c>
      <c r="AW19" s="345">
        <f>IF(AND(W19&gt;$F$16,W19&lt;=SUM($F$16:$F$17)),$P$43,0)</f>
        <v/>
      </c>
      <c r="AX19" s="424">
        <f>IF($W19=1,$F$44,0)+IF(AND($W19&gt;0,$W19&lt;=$O$16),$F$45,0)</f>
        <v/>
      </c>
      <c r="AY19" s="425">
        <f>IF(AND(W19&gt;$F$16,W19&lt;=SUM($F$16:$F$17)),$P$54,0)</f>
        <v/>
      </c>
      <c r="AZ19" s="424">
        <f>IF(AND(SUM($AQ$16:AQ18)&gt;0,SUM($AZ$16:AZ18)&lt;$P$62,$W19&gt;=$P$65),$P$64,0)</f>
        <v/>
      </c>
      <c r="BA19" s="345">
        <f>IF(SUM($AQ$17:$AQ18)&gt;0,($P$62-SUM($AZ$17:$AZ18))*$F$65,0)</f>
        <v/>
      </c>
      <c r="BB19" s="346">
        <f>SUM(AT19:AY19)</f>
        <v/>
      </c>
      <c r="BC19" s="351">
        <f>AS19-BB19</f>
        <v/>
      </c>
      <c r="BD19" s="352">
        <f>BC19*$BF19</f>
        <v/>
      </c>
      <c r="BE19" s="393" t="n"/>
      <c r="BF19" s="46">
        <f>BF18/(1+$O$22)</f>
        <v/>
      </c>
      <c r="BH19" s="350">
        <f>AT19</f>
        <v/>
      </c>
      <c r="BI19" s="350">
        <f>AU19</f>
        <v/>
      </c>
      <c r="BJ19" s="351">
        <f>AV19</f>
        <v/>
      </c>
      <c r="BK19" s="351">
        <f>AW19</f>
        <v/>
      </c>
      <c r="BL19" s="351">
        <f>AY19</f>
        <v/>
      </c>
      <c r="BM19" s="351">
        <f>IF($W19&gt;$F$16,$F$56,0)</f>
        <v/>
      </c>
      <c r="BN19" s="352">
        <f>SUM(BH19:BM19)</f>
        <v/>
      </c>
      <c r="BO19" s="351">
        <f>IF($W19=$F$16,$P$32,0)</f>
        <v/>
      </c>
      <c r="BP19" s="351">
        <f>IF(AND(W19&gt;$F$16,W19&lt;=SUM($F$16:$F$17)),$P$41,0)</f>
        <v/>
      </c>
      <c r="BQ19" s="351">
        <f>IFERROR(-IPMT($P$67,W19-$F$16,$F$17,SUM(P$31,P$51)),0)</f>
        <v/>
      </c>
      <c r="BR19" s="351">
        <f>IF($W19&lt;=$O$16,$F$105,0)</f>
        <v/>
      </c>
      <c r="BS19" s="353">
        <f>IF($W19=1,SUM($O$103,$O$105),0)</f>
        <v/>
      </c>
      <c r="BT19" s="351">
        <f t="array" ref="BT19">IF($W19&lt;=$O$16,_xlfn.IFS(W19&lt;$F$16,$P$92,W19=$F$16,$P$93,W19&gt;$F$16,$P$94),0)</f>
        <v/>
      </c>
      <c r="BU19" s="352">
        <f>SUM(BO19:BP19,BR19:BT19)</f>
        <v/>
      </c>
      <c r="BV19" s="352">
        <f>BN19-BU19</f>
        <v/>
      </c>
      <c r="BW19" s="342" t="n"/>
      <c r="BX19" s="338">
        <f>IFERROR(-PPMT($P$67,$W19-$F$16,$F$17,SUM(P$31,P$51)),0)</f>
        <v/>
      </c>
      <c r="BY19" s="355" t="n"/>
      <c r="CA19" s="0" t="n"/>
    </row>
    <row r="20" ht="15.75" customHeight="1" s="302">
      <c r="C20" s="0" t="inlineStr">
        <is>
          <t>維持管理運営期間開始日</t>
        </is>
      </c>
      <c r="F20" s="137">
        <f>F19+1</f>
        <v/>
      </c>
      <c r="V20" s="58">
        <f>IF(W20=1,DATE(YEAR($F$18)+(MONTH($F$18)&gt;=4),4,0),EOMONTH(V19,12))</f>
        <v/>
      </c>
      <c r="W20" s="7" t="n">
        <v>4</v>
      </c>
      <c r="X20" s="282">
        <f>IF(W20&gt;$O$16,"-",IF($W20&lt;=$F$16,"整備期間","維持管理・運営期間"))</f>
        <v/>
      </c>
      <c r="Y20" s="344">
        <f>IF($W20=$F$16,$O$61,0)</f>
        <v/>
      </c>
      <c r="Z20" s="345">
        <f>IF($W20=$F$16,$O$63,0)</f>
        <v/>
      </c>
      <c r="AA20" s="345">
        <f>IF($W20=$F$16,$O$62,0)</f>
        <v/>
      </c>
      <c r="AB20" s="345">
        <f>IF(X20="維持管理・運営期間",$F$56,0)</f>
        <v/>
      </c>
      <c r="AC20" s="346">
        <f>SUM(Y20:Z20,AB20)</f>
        <v/>
      </c>
      <c r="AD20" s="344">
        <f>IF($W20=$F$16,$O$30,0)</f>
        <v/>
      </c>
      <c r="AE20" s="345">
        <f>IF($X20="維持管理・運営期間",$O$41,0)</f>
        <v/>
      </c>
      <c r="AF20" s="345">
        <f>IF(AND($W20&gt;0,$W20&lt;=$O$16),$E$45,0)</f>
        <v/>
      </c>
      <c r="AG20" s="396">
        <f>IF(AND(SUM($AA$16:AA19)&gt;0,SUM($AG$16:AG19)&lt;$O$62,$W20&gt;=$O$65),$O$64,0)</f>
        <v/>
      </c>
      <c r="AH20" s="353">
        <f>IF(SUM($AA$17:$AA19)&gt;0,($O$62-SUM($AG$17:$AG19))*$E$65,0)</f>
        <v/>
      </c>
      <c r="AI20" s="346">
        <f>SUM(AD20:AF20)</f>
        <v/>
      </c>
      <c r="AJ20" s="351">
        <f>AC20-AI20</f>
        <v/>
      </c>
      <c r="AK20" s="338">
        <f>(SUM($P$31,$P$51)-SUM($AU$17:AU19))*$O$109</f>
        <v/>
      </c>
      <c r="AL20" s="348" t="n"/>
      <c r="AM20" s="352">
        <f>AJ20*$BF20</f>
        <v/>
      </c>
      <c r="AN20" s="349" t="n"/>
      <c r="AO20" s="350">
        <f>IF($W20=$F$16,$P$61,0)</f>
        <v/>
      </c>
      <c r="AP20" s="351">
        <f>IF($W20=$F$16,$P$63,0)</f>
        <v/>
      </c>
      <c r="AQ20" s="351">
        <f>IF($W20=$F$16,$P$62,0)</f>
        <v/>
      </c>
      <c r="AR20" s="345">
        <f>IF($W20&lt;$O$16,IF(W20=$F$16,$U$92,$U$93),0)</f>
        <v/>
      </c>
      <c r="AS20" s="346">
        <f>SUM(AO20:AP20,AR20)</f>
        <v/>
      </c>
      <c r="AT20" s="345">
        <f>IF(W20=$F$16,$P$30,0)</f>
        <v/>
      </c>
      <c r="AU20" s="345">
        <f>IFERROR(-PPMT($P$36,W20-$F$16,$F$17,SUM(P$31,P$51)),0)</f>
        <v/>
      </c>
      <c r="AV20" s="345">
        <f>IFERROR(-IPMT($P$36,W20-$F$16,$F$17,SUM($P$31,$P$51)),0)</f>
        <v/>
      </c>
      <c r="AW20" s="345">
        <f>IF(AND(W20&gt;$F$16,W20&lt;=SUM($F$16:$F$17)),$P$43,0)</f>
        <v/>
      </c>
      <c r="AX20" s="424">
        <f>IF($W20=1,$F$44,0)+IF(AND($W20&gt;0,$W20&lt;=$O$16),$F$45,0)</f>
        <v/>
      </c>
      <c r="AY20" s="425">
        <f>IF(AND(W20&gt;$F$16,W20&lt;=SUM($F$16:$F$17)),$P$54,0)</f>
        <v/>
      </c>
      <c r="AZ20" s="424">
        <f>IF(AND(SUM($AQ$16:AQ19)&gt;0,SUM($AZ$16:AZ19)&lt;$P$62,$W20&gt;=$P$65),$P$64,0)</f>
        <v/>
      </c>
      <c r="BA20" s="345">
        <f>IF(SUM($AQ$17:$AQ19)&gt;0,($P$62-SUM($AZ$17:$AZ19))*$F$65,0)</f>
        <v/>
      </c>
      <c r="BB20" s="346">
        <f>SUM(AT20:AY20)</f>
        <v/>
      </c>
      <c r="BC20" s="351">
        <f>AS20-BB20</f>
        <v/>
      </c>
      <c r="BD20" s="352">
        <f>BC20*$BF20</f>
        <v/>
      </c>
      <c r="BE20" s="393" t="n"/>
      <c r="BF20" s="46">
        <f>BF19/(1+$O$22)</f>
        <v/>
      </c>
      <c r="BH20" s="350">
        <f>AT20</f>
        <v/>
      </c>
      <c r="BI20" s="350">
        <f>AU20</f>
        <v/>
      </c>
      <c r="BJ20" s="351">
        <f>AV20</f>
        <v/>
      </c>
      <c r="BK20" s="351">
        <f>AW20</f>
        <v/>
      </c>
      <c r="BL20" s="351">
        <f>AY20</f>
        <v/>
      </c>
      <c r="BM20" s="351">
        <f>IF($W20&gt;$F$16,$F$56,0)</f>
        <v/>
      </c>
      <c r="BN20" s="352">
        <f>SUM(BH20:BM20)</f>
        <v/>
      </c>
      <c r="BO20" s="351">
        <f>IF($W20=$F$16,$P$32,0)</f>
        <v/>
      </c>
      <c r="BP20" s="351">
        <f>IF(AND(W20&gt;$F$16,W20&lt;=SUM($F$16:$F$17)),$P$41,0)</f>
        <v/>
      </c>
      <c r="BQ20" s="351">
        <f>IFERROR(-IPMT($P$67,W20-$F$16,$F$17,SUM(P$31,P$51)),0)</f>
        <v/>
      </c>
      <c r="BR20" s="351">
        <f>IF($W20&lt;=$O$16,$F$105,0)</f>
        <v/>
      </c>
      <c r="BS20" s="353">
        <f>IF($W20=1,SUM($O$103,$O$105),0)</f>
        <v/>
      </c>
      <c r="BT20" s="351">
        <f t="array" ref="BT20">IF($W20&lt;=$O$16,_xlfn.IFS(W20&lt;$F$16,$P$92,W20=$F$16,$P$93,W20&gt;$F$16,$P$94),0)</f>
        <v/>
      </c>
      <c r="BU20" s="352">
        <f>SUM(BO20:BP20,BR20:BT20)</f>
        <v/>
      </c>
      <c r="BV20" s="352">
        <f>BN20-BU20</f>
        <v/>
      </c>
      <c r="BW20" s="342" t="n"/>
      <c r="BX20" s="338">
        <f>IFERROR(-PPMT($P$67,$W20-$F$16,$F$17,SUM(P$31,P$51)),0)</f>
        <v/>
      </c>
      <c r="BY20" s="356">
        <f>IF(BV20-BX20&gt;=0,0,1)</f>
        <v/>
      </c>
      <c r="CA20" s="0" t="n"/>
    </row>
    <row r="21" ht="15.75" customHeight="1" s="302">
      <c r="C21" s="0" t="inlineStr">
        <is>
          <t>維持管理運営期間終了日</t>
        </is>
      </c>
      <c r="F21" s="137">
        <f>EOMONTH(F20,12*F17-1)</f>
        <v/>
      </c>
      <c r="V21" s="58">
        <f>IF(W21=1,DATE(YEAR($F$18)+(MONTH($F$18)&gt;=4),4,0),EOMONTH(V20,12))</f>
        <v/>
      </c>
      <c r="W21" s="7" t="n">
        <v>5</v>
      </c>
      <c r="X21" s="282">
        <f>IF(W21&gt;$O$16,"-",IF($W21&lt;=$F$16,"整備期間","維持管理・運営期間"))</f>
        <v/>
      </c>
      <c r="Y21" s="344">
        <f>IF($W21=$F$16,$O$61,0)</f>
        <v/>
      </c>
      <c r="Z21" s="345">
        <f>IF($W21=$F$16,$O$63,0)</f>
        <v/>
      </c>
      <c r="AA21" s="345">
        <f>IF($W21=$F$16,$O$62,0)</f>
        <v/>
      </c>
      <c r="AB21" s="345">
        <f>IF(X21="維持管理・運営期間",$F$56,0)</f>
        <v/>
      </c>
      <c r="AC21" s="346">
        <f>SUM(Y21:Z21,AB21)</f>
        <v/>
      </c>
      <c r="AD21" s="344">
        <f>IF($W21=$F$16,$O$30,0)</f>
        <v/>
      </c>
      <c r="AE21" s="345">
        <f>IF($X21="維持管理・運営期間",$O$41,0)</f>
        <v/>
      </c>
      <c r="AF21" s="345">
        <f>IF(AND($W21&gt;0,$W21&lt;=$O$16),$E$45,0)</f>
        <v/>
      </c>
      <c r="AG21" s="396">
        <f>IF(AND(SUM($AA$16:AA20)&gt;0,SUM($AG$16:AG20)&lt;$O$62,$W21&gt;=$O$65),$O$64,0)</f>
        <v/>
      </c>
      <c r="AH21" s="353">
        <f>IF(SUM($AA$17:$AA20)&gt;0,($O$62-SUM($AG$17:$AG20))*$E$65,0)</f>
        <v/>
      </c>
      <c r="AI21" s="346">
        <f>SUM(AD21:AF21)</f>
        <v/>
      </c>
      <c r="AJ21" s="351">
        <f>AC21-AI21</f>
        <v/>
      </c>
      <c r="AK21" s="338">
        <f>(SUM($P$31,$P$51)-SUM($AU$17:AU20))*$O$109</f>
        <v/>
      </c>
      <c r="AL21" s="348" t="n"/>
      <c r="AM21" s="352">
        <f>AJ21*$BF21</f>
        <v/>
      </c>
      <c r="AN21" s="349" t="n"/>
      <c r="AO21" s="350">
        <f>IF($W21=$F$16,$P$61,0)</f>
        <v/>
      </c>
      <c r="AP21" s="351">
        <f>IF($W21=$F$16,$P$63,0)</f>
        <v/>
      </c>
      <c r="AQ21" s="351">
        <f>IF($W21=$F$16,$P$62,0)</f>
        <v/>
      </c>
      <c r="AR21" s="345">
        <f>IF($W21&lt;$O$16,IF(W21=$F$16,$U$92,$U$93),0)</f>
        <v/>
      </c>
      <c r="AS21" s="346">
        <f>SUM(AO21:AP21,AR21)</f>
        <v/>
      </c>
      <c r="AT21" s="345">
        <f>IF(W21=$F$16,$P$30,0)</f>
        <v/>
      </c>
      <c r="AU21" s="345">
        <f>IFERROR(-PPMT($P$36,W21-$F$16,$F$17,SUM(P$31,P$51)),0)</f>
        <v/>
      </c>
      <c r="AV21" s="345">
        <f>IFERROR(-IPMT($P$36,W21-$F$16,$F$17,SUM($P$31,$P$51)),0)</f>
        <v/>
      </c>
      <c r="AW21" s="345">
        <f>IF(AND(W21&gt;$F$16,W21&lt;=SUM($F$16:$F$17)),$P$43,0)</f>
        <v/>
      </c>
      <c r="AX21" s="424">
        <f>IF($W21=1,$F$44,0)+IF(AND($W21&gt;0,$W21&lt;=$O$16),$F$45,0)</f>
        <v/>
      </c>
      <c r="AY21" s="425">
        <f>IF(AND(W21&gt;$F$16,W21&lt;=SUM($F$16:$F$17)),$P$54,0)</f>
        <v/>
      </c>
      <c r="AZ21" s="424">
        <f>IF(AND(SUM($AQ$16:AQ20)&gt;0,SUM($AZ$16:AZ20)&lt;$P$62,$W21&gt;=$P$65),$P$64,0)</f>
        <v/>
      </c>
      <c r="BA21" s="345">
        <f>IF(SUM($AQ$17:$AQ20)&gt;0,($P$62-SUM($AZ$17:$AZ20))*$F$65,0)</f>
        <v/>
      </c>
      <c r="BB21" s="346">
        <f>SUM(AT21:AY21)</f>
        <v/>
      </c>
      <c r="BC21" s="351">
        <f>AS21-BB21</f>
        <v/>
      </c>
      <c r="BD21" s="352">
        <f>BC21*$BF21</f>
        <v/>
      </c>
      <c r="BE21" s="393" t="n"/>
      <c r="BF21" s="46">
        <f>BF20/(1+$O$22)</f>
        <v/>
      </c>
      <c r="BH21" s="350">
        <f>AT21</f>
        <v/>
      </c>
      <c r="BI21" s="350">
        <f>AU21</f>
        <v/>
      </c>
      <c r="BJ21" s="351">
        <f>AV21</f>
        <v/>
      </c>
      <c r="BK21" s="351">
        <f>AW21</f>
        <v/>
      </c>
      <c r="BL21" s="351">
        <f>AY21</f>
        <v/>
      </c>
      <c r="BM21" s="351">
        <f>IF($W21&gt;$F$16,$F$56,0)</f>
        <v/>
      </c>
      <c r="BN21" s="352">
        <f>SUM(BH21:BM21)</f>
        <v/>
      </c>
      <c r="BO21" s="351">
        <f>IF($W21=$F$16,$P$32,0)</f>
        <v/>
      </c>
      <c r="BP21" s="351">
        <f>IF(AND(W21&gt;$F$16,W21&lt;=SUM($F$16:$F$17)),$P$41,0)</f>
        <v/>
      </c>
      <c r="BQ21" s="351">
        <f>IFERROR(-IPMT($P$67,W21-$F$16,$F$17,SUM(P$31,P$51)),0)</f>
        <v/>
      </c>
      <c r="BR21" s="351">
        <f>IF($W21&lt;=$O$16,$F$105,0)</f>
        <v/>
      </c>
      <c r="BS21" s="353">
        <f>IF($W21=1,SUM($O$103,$O$105),0)</f>
        <v/>
      </c>
      <c r="BT21" s="351">
        <f t="array" ref="BT21">IF($W21&lt;=$O$16,_xlfn.IFS(W21&lt;$F$16,$P$92,W21=$F$16,$P$93,W21&gt;$F$16,$P$94),0)</f>
        <v/>
      </c>
      <c r="BU21" s="352">
        <f>SUM(BO21:BP21,BR21:BT21)</f>
        <v/>
      </c>
      <c r="BV21" s="352">
        <f>BN21-BU21</f>
        <v/>
      </c>
      <c r="BW21" s="342" t="n"/>
      <c r="BX21" s="338">
        <f>IFERROR(-PPMT($P$67,$W21-$F$16,$F$17,SUM(P$31,P$51)),0)</f>
        <v/>
      </c>
      <c r="BY21" s="356">
        <f>IF(BV21-BX21&gt;=0,0,1)</f>
        <v/>
      </c>
      <c r="CA21" s="0" t="n"/>
    </row>
    <row r="22" ht="15.75" customHeight="1" s="302">
      <c r="B22" s="56" t="inlineStr">
        <is>
          <t>1.4割引率</t>
        </is>
      </c>
      <c r="C22" s="19" t="n"/>
      <c r="I22" s="72" t="n"/>
      <c r="J22" s="4" t="inlineStr">
        <is>
          <t>1.4割引率</t>
        </is>
      </c>
      <c r="N22" s="19" t="inlineStr">
        <is>
          <t>％</t>
        </is>
      </c>
      <c r="O22" s="36">
        <f>SUM(F23:F24)</f>
        <v/>
      </c>
      <c r="V22" s="58">
        <f>IF(W22=1,DATE(YEAR($F$18)+(MONTH($F$18)&gt;=4),4,0),EOMONTH(V21,12))</f>
        <v/>
      </c>
      <c r="W22" s="7" t="n">
        <v>6</v>
      </c>
      <c r="X22" s="282">
        <f>IF(W22&gt;$O$16,"-",IF($W22&lt;=$F$16,"整備期間","維持管理・運営期間"))</f>
        <v/>
      </c>
      <c r="Y22" s="344">
        <f>IF($W22=$F$16,$O$61,0)</f>
        <v/>
      </c>
      <c r="Z22" s="345">
        <f>IF($W22=$F$16,$O$63,0)</f>
        <v/>
      </c>
      <c r="AA22" s="345">
        <f>IF($W22=$F$16,$O$62,0)</f>
        <v/>
      </c>
      <c r="AB22" s="345">
        <f>IF(X22="維持管理・運営期間",$F$56,0)</f>
        <v/>
      </c>
      <c r="AC22" s="346">
        <f>SUM(Y22:Z22,AB22)</f>
        <v/>
      </c>
      <c r="AD22" s="344">
        <f>IF($W22=$F$16,$O$30,0)</f>
        <v/>
      </c>
      <c r="AE22" s="345">
        <f>IF($X22="維持管理・運営期間",$O$41,0)</f>
        <v/>
      </c>
      <c r="AF22" s="345">
        <f>IF(AND($W22&gt;0,$W22&lt;=$O$16),$E$45,0)</f>
        <v/>
      </c>
      <c r="AG22" s="396">
        <f>IF(AND(SUM($AA$16:AA21)&gt;0,SUM($AG$16:AG21)&lt;$O$62,$W22&gt;=$O$65),$O$64,0)</f>
        <v/>
      </c>
      <c r="AH22" s="353">
        <f>IF(SUM($AA$17:$AA21)&gt;0,($O$62-SUM($AG$17:$AG21))*$E$65,0)</f>
        <v/>
      </c>
      <c r="AI22" s="346">
        <f>SUM(AD22:AF22)</f>
        <v/>
      </c>
      <c r="AJ22" s="351">
        <f>AC22-AI22</f>
        <v/>
      </c>
      <c r="AK22" s="338">
        <f>(SUM($P$31,$P$51)-SUM($AU$17:AU21))*$O$109</f>
        <v/>
      </c>
      <c r="AL22" s="348" t="n"/>
      <c r="AM22" s="352">
        <f>AJ22*$BF22</f>
        <v/>
      </c>
      <c r="AN22" s="349" t="n"/>
      <c r="AO22" s="350">
        <f>IF($W22=$F$16,$P$61,0)</f>
        <v/>
      </c>
      <c r="AP22" s="351">
        <f>IF($W22=$F$16,$P$63,0)</f>
        <v/>
      </c>
      <c r="AQ22" s="351">
        <f>IF($W22=$F$16,$P$62,0)</f>
        <v/>
      </c>
      <c r="AR22" s="345">
        <f>IF($W22&lt;$O$16,IF(W22=$F$16,$U$92,$U$93),0)</f>
        <v/>
      </c>
      <c r="AS22" s="346">
        <f>SUM(AO22:AP22,AR22)</f>
        <v/>
      </c>
      <c r="AT22" s="345">
        <f>IF(W22=$F$16,$P$30,0)</f>
        <v/>
      </c>
      <c r="AU22" s="345">
        <f>IFERROR(-PPMT($P$36,W22-$F$16,$F$17,SUM(P$31,P$51)),0)</f>
        <v/>
      </c>
      <c r="AV22" s="345">
        <f>IFERROR(-IPMT($P$36,W22-$F$16,$F$17,SUM($P$31,$P$51)),0)</f>
        <v/>
      </c>
      <c r="AW22" s="345">
        <f>IF(AND(W22&gt;$F$16,W22&lt;=SUM($F$16:$F$17)),$P$43,0)</f>
        <v/>
      </c>
      <c r="AX22" s="424">
        <f>IF($W22=1,$F$44,0)+IF(AND($W22&gt;0,$W22&lt;=$O$16),$F$45,0)</f>
        <v/>
      </c>
      <c r="AY22" s="425">
        <f>IF(AND(W22&gt;$F$16,W22&lt;=SUM($F$16:$F$17)),$P$54,0)</f>
        <v/>
      </c>
      <c r="AZ22" s="424">
        <f>IF(AND(SUM($AQ$16:AQ21)&gt;0,SUM($AZ$16:AZ21)&lt;$P$62,$W22&gt;=$P$65),$P$64,0)</f>
        <v/>
      </c>
      <c r="BA22" s="345">
        <f>IF(SUM($AQ$17:$AQ21)&gt;0,($P$62-SUM($AZ$17:$AZ21))*$F$65,0)</f>
        <v/>
      </c>
      <c r="BB22" s="346">
        <f>SUM(AT22:AY22)</f>
        <v/>
      </c>
      <c r="BC22" s="351">
        <f>AS22-BB22</f>
        <v/>
      </c>
      <c r="BD22" s="352">
        <f>BC22*$BF22</f>
        <v/>
      </c>
      <c r="BE22" s="393" t="n"/>
      <c r="BF22" s="46">
        <f>BF21/(1+$O$22)</f>
        <v/>
      </c>
      <c r="BH22" s="350">
        <f>AT22</f>
        <v/>
      </c>
      <c r="BI22" s="350">
        <f>AU22</f>
        <v/>
      </c>
      <c r="BJ22" s="351">
        <f>AV22</f>
        <v/>
      </c>
      <c r="BK22" s="351">
        <f>AW22</f>
        <v/>
      </c>
      <c r="BL22" s="351">
        <f>AY22</f>
        <v/>
      </c>
      <c r="BM22" s="351">
        <f>IF($W22&gt;$F$16,$F$56,0)</f>
        <v/>
      </c>
      <c r="BN22" s="352">
        <f>SUM(BH22:BM22)</f>
        <v/>
      </c>
      <c r="BO22" s="351">
        <f>IF($W22=$F$16,$P$32,0)</f>
        <v/>
      </c>
      <c r="BP22" s="351">
        <f>IF(AND(W22&gt;$F$16,W22&lt;=SUM($F$16:$F$17)),$P$41,0)</f>
        <v/>
      </c>
      <c r="BQ22" s="351">
        <f>IFERROR(-IPMT($P$67,W22-$F$16,$F$17,SUM(P$31,P$51)),0)</f>
        <v/>
      </c>
      <c r="BR22" s="351">
        <f>IF($W22&lt;=$O$16,$F$105,0)</f>
        <v/>
      </c>
      <c r="BS22" s="353">
        <f>IF($W22=1,SUM($O$103,$O$105),0)</f>
        <v/>
      </c>
      <c r="BT22" s="351">
        <f t="array" ref="BT22">IF($W22&lt;=$O$16,_xlfn.IFS(W22&lt;$F$16,$P$92,W22=$F$16,$P$93,W22&gt;$F$16,$P$94),0)</f>
        <v/>
      </c>
      <c r="BU22" s="352">
        <f>SUM(BO22:BP22,BR22:BT22)</f>
        <v/>
      </c>
      <c r="BV22" s="352">
        <f>BN22-BU22</f>
        <v/>
      </c>
      <c r="BW22" s="342" t="n"/>
      <c r="BX22" s="338">
        <f>IFERROR(-PPMT($P$67,$W22-$F$16,$F$17,SUM(P$31,P$51)),0)</f>
        <v/>
      </c>
      <c r="BY22" s="356">
        <f>IF(BV22-BX22&gt;=0,0,1)</f>
        <v/>
      </c>
      <c r="CA22" s="0" t="n"/>
    </row>
    <row r="23" ht="15.75" customHeight="1" s="302">
      <c r="C23" s="0" t="inlineStr">
        <is>
          <t>リスクフリーレート</t>
        </is>
      </c>
      <c r="F23" s="15" t="n">
        <v>0.0145</v>
      </c>
      <c r="H23" s="0" t="inlineStr">
        <is>
          <t>20年国債利回り</t>
        </is>
      </c>
      <c r="V23" s="58">
        <f>IF(W23=1,DATE(YEAR($F$18)+(MONTH($F$18)&gt;=4),4,0),EOMONTH(V22,12))</f>
        <v/>
      </c>
      <c r="W23" s="7" t="n">
        <v>7</v>
      </c>
      <c r="X23" s="282">
        <f>IF(W23&gt;$O$16,"-",IF($W23&lt;=$F$16,"整備期間","維持管理・運営期間"))</f>
        <v/>
      </c>
      <c r="Y23" s="344">
        <f>IF($W23=$F$16,$O$61,0)</f>
        <v/>
      </c>
      <c r="Z23" s="345">
        <f>IF($W23=$F$16,$O$63,0)</f>
        <v/>
      </c>
      <c r="AA23" s="345">
        <f>IF($W23=$F$16,$O$62,0)</f>
        <v/>
      </c>
      <c r="AB23" s="345">
        <f>IF(X23="維持管理・運営期間",$F$56,0)</f>
        <v/>
      </c>
      <c r="AC23" s="346">
        <f>SUM(Y23:Z23,AB23)</f>
        <v/>
      </c>
      <c r="AD23" s="344">
        <f>IF($W23=$F$16,$O$30,0)</f>
        <v/>
      </c>
      <c r="AE23" s="345">
        <f>IF($X23="維持管理・運営期間",$O$41,0)</f>
        <v/>
      </c>
      <c r="AF23" s="345">
        <f>IF(AND($W23&gt;0,$W23&lt;=$O$16),$E$45,0)</f>
        <v/>
      </c>
      <c r="AG23" s="396">
        <f>IF(AND(SUM($AA$16:AA22)&gt;0,SUM($AG$16:AG22)&lt;$O$62,$W23&gt;=$O$65),$O$64,0)</f>
        <v/>
      </c>
      <c r="AH23" s="353">
        <f>IF(SUM($AA$17:$AA22)&gt;0,($O$62-SUM($AG$17:$AG22))*$E$65,0)</f>
        <v/>
      </c>
      <c r="AI23" s="346">
        <f>SUM(AD23:AF23)</f>
        <v/>
      </c>
      <c r="AJ23" s="351">
        <f>AC23-AI23</f>
        <v/>
      </c>
      <c r="AK23" s="338">
        <f>(SUM($P$31,$P$51)-SUM($AU$17:AU22))*$O$109</f>
        <v/>
      </c>
      <c r="AL23" s="348" t="n"/>
      <c r="AM23" s="352">
        <f>AJ23*$BF23</f>
        <v/>
      </c>
      <c r="AN23" s="349" t="n"/>
      <c r="AO23" s="350">
        <f>IF($W23=$F$16,$P$61,0)</f>
        <v/>
      </c>
      <c r="AP23" s="351">
        <f>IF($W23=$F$16,$P$63,0)</f>
        <v/>
      </c>
      <c r="AQ23" s="351">
        <f>IF($W23=$F$16,$P$62,0)</f>
        <v/>
      </c>
      <c r="AR23" s="345">
        <f>IF($W23&lt;$O$16,IF(W23=$F$16,$U$92,$U$93),0)</f>
        <v/>
      </c>
      <c r="AS23" s="346">
        <f>SUM(AO23:AP23,AR23)</f>
        <v/>
      </c>
      <c r="AT23" s="345">
        <f>IF(W23=$F$16,$P$30,0)</f>
        <v/>
      </c>
      <c r="AU23" s="345">
        <f>IFERROR(-PPMT($P$36,W23-$F$16,$F$17,SUM(P$31,P$51)),0)</f>
        <v/>
      </c>
      <c r="AV23" s="345">
        <f>IFERROR(-IPMT($P$36,W23-$F$16,$F$17,SUM($P$31,$P$51)),0)</f>
        <v/>
      </c>
      <c r="AW23" s="345">
        <f>IF(AND(W23&gt;$F$16,W23&lt;=SUM($F$16:$F$17)),$P$43,0)</f>
        <v/>
      </c>
      <c r="AX23" s="424">
        <f>IF($W23=1,$F$44,0)+IF(AND($W23&gt;0,$W23&lt;=$O$16),$F$45,0)</f>
        <v/>
      </c>
      <c r="AY23" s="425">
        <f>IF(AND(W23&gt;$F$16,W23&lt;=SUM($F$16:$F$17)),$P$54,0)</f>
        <v/>
      </c>
      <c r="AZ23" s="424">
        <f>IF(AND(SUM($AQ$16:AQ22)&gt;0,SUM($AZ$16:AZ22)&lt;$P$62,$W23&gt;=$P$65),$P$64,0)</f>
        <v/>
      </c>
      <c r="BA23" s="345">
        <f>IF(SUM($AQ$17:$AQ22)&gt;0,($P$62-SUM($AZ$17:$AZ22))*$F$65,0)</f>
        <v/>
      </c>
      <c r="BB23" s="346">
        <f>SUM(AT23:AY23)</f>
        <v/>
      </c>
      <c r="BC23" s="351">
        <f>AS23-BB23</f>
        <v/>
      </c>
      <c r="BD23" s="352">
        <f>BC23*$BF23</f>
        <v/>
      </c>
      <c r="BE23" s="393" t="n"/>
      <c r="BF23" s="46">
        <f>BF22/(1+$O$22)</f>
        <v/>
      </c>
      <c r="BH23" s="350">
        <f>AT23</f>
        <v/>
      </c>
      <c r="BI23" s="350">
        <f>AU23</f>
        <v/>
      </c>
      <c r="BJ23" s="351">
        <f>AV23</f>
        <v/>
      </c>
      <c r="BK23" s="351">
        <f>AW23</f>
        <v/>
      </c>
      <c r="BL23" s="351">
        <f>AY23</f>
        <v/>
      </c>
      <c r="BM23" s="351">
        <f>IF($W23&gt;$F$16,$F$56,0)</f>
        <v/>
      </c>
      <c r="BN23" s="352">
        <f>SUM(BH23:BM23)</f>
        <v/>
      </c>
      <c r="BO23" s="351">
        <f>IF($W23=$F$16,$P$32,0)</f>
        <v/>
      </c>
      <c r="BP23" s="351">
        <f>IF(AND(W23&gt;$F$16,W23&lt;=SUM($F$16:$F$17)),$P$41,0)</f>
        <v/>
      </c>
      <c r="BQ23" s="351">
        <f>IFERROR(-IPMT($P$67,W23-$F$16,$F$17,SUM(P$31,P$51)),0)</f>
        <v/>
      </c>
      <c r="BR23" s="351">
        <f>IF($W23&lt;=$O$16,$F$105,0)</f>
        <v/>
      </c>
      <c r="BS23" s="353">
        <f>IF($W23=1,SUM($O$103,$O$105),0)</f>
        <v/>
      </c>
      <c r="BT23" s="351">
        <f t="array" ref="BT23">IF($W23&lt;=$O$16,_xlfn.IFS(W23&lt;$F$16,$P$92,W23=$F$16,$P$93,W23&gt;$F$16,$P$94),0)</f>
        <v/>
      </c>
      <c r="BU23" s="352">
        <f>SUM(BO23:BP23,BR23:BT23)</f>
        <v/>
      </c>
      <c r="BV23" s="352">
        <f>BN23-BU23</f>
        <v/>
      </c>
      <c r="BW23" s="342" t="n"/>
      <c r="BX23" s="338">
        <f>IFERROR(-PPMT($P$67,$W23-$F$16,$F$17,SUM(P$31,P$51)),0)</f>
        <v/>
      </c>
      <c r="BY23" s="356">
        <f>IF(BV23-BX23&gt;=0,0,1)</f>
        <v/>
      </c>
      <c r="CA23" s="0" t="n"/>
    </row>
    <row r="24" ht="15.75" customHeight="1" s="302">
      <c r="C24" s="0" t="inlineStr">
        <is>
          <t>物価上昇率</t>
        </is>
      </c>
      <c r="F24" s="357">
        <f>事業費用概算!J34</f>
        <v/>
      </c>
      <c r="V24" s="58">
        <f>IF(W24=1,DATE(YEAR($F$18)+(MONTH($F$18)&gt;=4),4,0),EOMONTH(V23,12))</f>
        <v/>
      </c>
      <c r="W24" s="7" t="n">
        <v>8</v>
      </c>
      <c r="X24" s="282">
        <f>IF(W24&gt;$O$16,"-",IF($W24&lt;=$F$16,"整備期間","維持管理・運営期間"))</f>
        <v/>
      </c>
      <c r="Y24" s="344">
        <f>IF($W24=$F$16,$O$61,0)</f>
        <v/>
      </c>
      <c r="Z24" s="345">
        <f>IF($W24=$F$16,$O$63,0)</f>
        <v/>
      </c>
      <c r="AA24" s="345">
        <f>IF($W24=$F$16,$O$62,0)</f>
        <v/>
      </c>
      <c r="AB24" s="345">
        <f>IF(X24="維持管理・運営期間",$F$56,0)</f>
        <v/>
      </c>
      <c r="AC24" s="346">
        <f>SUM(Y24:Z24,AB24)</f>
        <v/>
      </c>
      <c r="AD24" s="344">
        <f>IF($W24=$F$16,$O$30,0)</f>
        <v/>
      </c>
      <c r="AE24" s="345">
        <f>IF($X24="維持管理・運営期間",$O$41,0)</f>
        <v/>
      </c>
      <c r="AF24" s="345">
        <f>IF(AND($W24&gt;0,$W24&lt;=$O$16),$E$45,0)</f>
        <v/>
      </c>
      <c r="AG24" s="396">
        <f>IF(AND(SUM($AA$16:AA23)&gt;0,SUM($AG$16:AG23)&lt;$O$62,$W24&gt;=$O$65),$O$64,0)</f>
        <v/>
      </c>
      <c r="AH24" s="353">
        <f>IF(SUM($AA$17:$AA23)&gt;0,($O$62-SUM($AG$17:$AG23))*$E$65,0)</f>
        <v/>
      </c>
      <c r="AI24" s="346">
        <f>SUM(AD24:AF24)</f>
        <v/>
      </c>
      <c r="AJ24" s="351">
        <f>AC24-AI24</f>
        <v/>
      </c>
      <c r="AK24" s="338">
        <f>(SUM($P$31,$P$51)-SUM($AU$17:AU23))*$O$109</f>
        <v/>
      </c>
      <c r="AL24" s="348" t="n"/>
      <c r="AM24" s="352">
        <f>AJ24*$BF24</f>
        <v/>
      </c>
      <c r="AN24" s="349" t="n"/>
      <c r="AO24" s="350">
        <f>IF($W24=$F$16,$P$61,0)</f>
        <v/>
      </c>
      <c r="AP24" s="351">
        <f>IF($W24=$F$16,$P$63,0)</f>
        <v/>
      </c>
      <c r="AQ24" s="351">
        <f>IF($W24=$F$16,$P$62,0)</f>
        <v/>
      </c>
      <c r="AR24" s="345">
        <f>IF($W24&lt;$O$16,IF(W24=$F$16,$U$92,$U$93),0)</f>
        <v/>
      </c>
      <c r="AS24" s="346">
        <f>SUM(AO24:AP24,AR24)</f>
        <v/>
      </c>
      <c r="AT24" s="345">
        <f>IF(W24=$F$16,$P$30,0)</f>
        <v/>
      </c>
      <c r="AU24" s="345">
        <f>IFERROR(-PPMT($P$36,W24-$F$16,$F$17,SUM(P$31,P$51)),0)</f>
        <v/>
      </c>
      <c r="AV24" s="345">
        <f>IFERROR(-IPMT($P$36,W24-$F$16,$F$17,SUM($P$31,$P$51)),0)</f>
        <v/>
      </c>
      <c r="AW24" s="345">
        <f>IF(AND(W24&gt;$F$16,W24&lt;=SUM($F$16:$F$17)),$P$43,0)</f>
        <v/>
      </c>
      <c r="AX24" s="424">
        <f>IF($W24=1,$F$44,0)+IF(AND($W24&gt;0,$W24&lt;=$O$16),$F$45,0)</f>
        <v/>
      </c>
      <c r="AY24" s="425">
        <f>IF(AND(W24&gt;$F$16,W24&lt;=SUM($F$16:$F$17)),$P$54,0)</f>
        <v/>
      </c>
      <c r="AZ24" s="424">
        <f>IF(AND(SUM($AQ$16:AQ23)&gt;0,SUM($AZ$16:AZ23)&lt;$P$62,$W24&gt;=$P$65),$P$64,0)</f>
        <v/>
      </c>
      <c r="BA24" s="345">
        <f>IF(SUM($AQ$17:$AQ23)&gt;0,($P$62-SUM($AZ$17:$AZ23))*$F$65,0)</f>
        <v/>
      </c>
      <c r="BB24" s="346">
        <f>SUM(AT24:AY24)</f>
        <v/>
      </c>
      <c r="BC24" s="351">
        <f>AS24-BB24</f>
        <v/>
      </c>
      <c r="BD24" s="352">
        <f>BC24*$BF24</f>
        <v/>
      </c>
      <c r="BE24" s="393" t="n"/>
      <c r="BF24" s="46">
        <f>BF23/(1+$O$22)</f>
        <v/>
      </c>
      <c r="BH24" s="350">
        <f>AT24</f>
        <v/>
      </c>
      <c r="BI24" s="350">
        <f>AU24</f>
        <v/>
      </c>
      <c r="BJ24" s="351">
        <f>AV24</f>
        <v/>
      </c>
      <c r="BK24" s="351">
        <f>AW24</f>
        <v/>
      </c>
      <c r="BL24" s="351">
        <f>AY24</f>
        <v/>
      </c>
      <c r="BM24" s="351">
        <f>IF($W24&gt;$F$16,$F$56,0)</f>
        <v/>
      </c>
      <c r="BN24" s="352">
        <f>SUM(BH24:BM24)</f>
        <v/>
      </c>
      <c r="BO24" s="351">
        <f>IF($W24=$F$16,$P$32,0)</f>
        <v/>
      </c>
      <c r="BP24" s="351">
        <f>IF(AND(W24&gt;$F$16,W24&lt;=SUM($F$16:$F$17)),$P$41,0)</f>
        <v/>
      </c>
      <c r="BQ24" s="351">
        <f>IFERROR(-IPMT($P$67,W24-$F$16,$F$17,SUM(P$31,P$51)),0)</f>
        <v/>
      </c>
      <c r="BR24" s="351">
        <f>IF($W24&lt;=$O$16,$F$105,0)</f>
        <v/>
      </c>
      <c r="BS24" s="353">
        <f>IF($W24=1,SUM($O$103,$O$105),0)</f>
        <v/>
      </c>
      <c r="BT24" s="351">
        <f t="array" ref="BT24">IF($W24&lt;=$O$16,_xlfn.IFS(W24&lt;$F$16,$P$92,W24=$F$16,$P$93,W24&gt;$F$16,$P$94),0)</f>
        <v/>
      </c>
      <c r="BU24" s="352">
        <f>SUM(BO24:BP24,BR24:BT24)</f>
        <v/>
      </c>
      <c r="BV24" s="352">
        <f>BN24-BU24</f>
        <v/>
      </c>
      <c r="BW24" s="342" t="n"/>
      <c r="BX24" s="338">
        <f>IFERROR(-PPMT($P$67,$W24-$F$16,$F$17,SUM(P$31,P$51)),0)</f>
        <v/>
      </c>
      <c r="BY24" s="356">
        <f>IF(BV24-BX24&gt;=0,0,1)</f>
        <v/>
      </c>
      <c r="CA24" s="0" t="n"/>
    </row>
    <row r="25" ht="15.75" customHeight="1" s="302">
      <c r="V25" s="58">
        <f>IF(W25=1,DATE(YEAR($F$18)+(MONTH($F$18)&gt;=4),4,0),EOMONTH(V24,12))</f>
        <v/>
      </c>
      <c r="W25" s="7" t="n">
        <v>9</v>
      </c>
      <c r="X25" s="282">
        <f>IF(W25&gt;$O$16,"-",IF($W25&lt;=$F$16,"整備期間","維持管理・運営期間"))</f>
        <v/>
      </c>
      <c r="Y25" s="344">
        <f>IF($W25=$F$16,$O$61,0)</f>
        <v/>
      </c>
      <c r="Z25" s="345">
        <f>IF($W25=$F$16,$O$63,0)</f>
        <v/>
      </c>
      <c r="AA25" s="345">
        <f>IF($W25=$F$16,$O$62,0)</f>
        <v/>
      </c>
      <c r="AB25" s="345">
        <f>IF(X25="維持管理・運営期間",$F$56,0)</f>
        <v/>
      </c>
      <c r="AC25" s="346">
        <f>SUM(Y25:Z25,AB25)</f>
        <v/>
      </c>
      <c r="AD25" s="344">
        <f>IF($W25=$F$16,$O$30,0)</f>
        <v/>
      </c>
      <c r="AE25" s="345">
        <f>IF($X25="維持管理・運営期間",$O$41,0)</f>
        <v/>
      </c>
      <c r="AF25" s="345">
        <f>IF(AND($W25&gt;0,$W25&lt;=$O$16),$E$45,0)</f>
        <v/>
      </c>
      <c r="AG25" s="396">
        <f>IF(AND(SUM($AA$16:AA24)&gt;0,SUM($AG$16:AG24)&lt;$O$62,$W25&gt;=$O$65),$O$64,0)</f>
        <v/>
      </c>
      <c r="AH25" s="353">
        <f>IF(SUM($AA$17:$AA24)&gt;0,($O$62-SUM($AG$17:$AG24))*$E$65,0)</f>
        <v/>
      </c>
      <c r="AI25" s="346">
        <f>SUM(AD25:AF25)</f>
        <v/>
      </c>
      <c r="AJ25" s="351">
        <f>AC25-AI25</f>
        <v/>
      </c>
      <c r="AK25" s="338">
        <f>(SUM($P$31,$P$51)-SUM($AU$17:AU24))*$O$109</f>
        <v/>
      </c>
      <c r="AL25" s="348" t="n"/>
      <c r="AM25" s="352">
        <f>AJ25*$BF25</f>
        <v/>
      </c>
      <c r="AN25" s="349" t="n"/>
      <c r="AO25" s="350">
        <f>IF($W25=$F$16,$P$61,0)</f>
        <v/>
      </c>
      <c r="AP25" s="351">
        <f>IF($W25=$F$16,$P$63,0)</f>
        <v/>
      </c>
      <c r="AQ25" s="351">
        <f>IF($W25=$F$16,$P$62,0)</f>
        <v/>
      </c>
      <c r="AR25" s="345">
        <f>IF($W25&lt;$O$16,IF(W25=$F$16,$U$92,$U$93),0)</f>
        <v/>
      </c>
      <c r="AS25" s="346">
        <f>SUM(AO25:AP25,AR25)</f>
        <v/>
      </c>
      <c r="AT25" s="345">
        <f>IF(W25=$F$16,$P$30,0)</f>
        <v/>
      </c>
      <c r="AU25" s="345">
        <f>IFERROR(-PPMT($P$36,W25-$F$16,$F$17,SUM(P$31,P$51)),0)</f>
        <v/>
      </c>
      <c r="AV25" s="345">
        <f>IFERROR(-IPMT($P$36,W25-$F$16,$F$17,SUM($P$31,$P$51)),0)</f>
        <v/>
      </c>
      <c r="AW25" s="345">
        <f>IF(AND(W25&gt;$F$16,W25&lt;=SUM($F$16:$F$17)),$P$43,0)</f>
        <v/>
      </c>
      <c r="AX25" s="424">
        <f>IF($W25=1,$F$44,0)+IF(AND($W25&gt;0,$W25&lt;=$O$16),$F$45,0)</f>
        <v/>
      </c>
      <c r="AY25" s="425">
        <f>IF(AND(W25&gt;$F$16,W25&lt;=SUM($F$16:$F$17)),$P$54,0)</f>
        <v/>
      </c>
      <c r="AZ25" s="424">
        <f>IF(AND(SUM($AQ$16:AQ24)&gt;0,SUM($AZ$16:AZ24)&lt;$P$62,$W25&gt;=$P$65),$P$64,0)</f>
        <v/>
      </c>
      <c r="BA25" s="345">
        <f>IF(SUM($AQ$17:$AQ24)&gt;0,($P$62-SUM($AZ$17:$AZ24))*$F$65,0)</f>
        <v/>
      </c>
      <c r="BB25" s="346">
        <f>SUM(AT25:AY25)</f>
        <v/>
      </c>
      <c r="BC25" s="351">
        <f>AS25-BB25</f>
        <v/>
      </c>
      <c r="BD25" s="352">
        <f>BC25*$BF25</f>
        <v/>
      </c>
      <c r="BE25" s="393" t="n"/>
      <c r="BF25" s="46">
        <f>BF24/(1+$O$22)</f>
        <v/>
      </c>
      <c r="BH25" s="350">
        <f>AT25</f>
        <v/>
      </c>
      <c r="BI25" s="350">
        <f>AU25</f>
        <v/>
      </c>
      <c r="BJ25" s="351">
        <f>AV25</f>
        <v/>
      </c>
      <c r="BK25" s="351">
        <f>AW25</f>
        <v/>
      </c>
      <c r="BL25" s="351">
        <f>AY25</f>
        <v/>
      </c>
      <c r="BM25" s="351">
        <f>IF($W25&gt;$F$16,$F$56,0)</f>
        <v/>
      </c>
      <c r="BN25" s="352">
        <f>SUM(BH25:BM25)</f>
        <v/>
      </c>
      <c r="BO25" s="351">
        <f>IF($W25=$F$16,$P$32,0)</f>
        <v/>
      </c>
      <c r="BP25" s="351">
        <f>IF(AND(W25&gt;$F$16,W25&lt;=SUM($F$16:$F$17)),$P$41,0)</f>
        <v/>
      </c>
      <c r="BQ25" s="351">
        <f>IFERROR(-IPMT($P$67,W25-$F$16,$F$17,SUM(P$31,P$51)),0)</f>
        <v/>
      </c>
      <c r="BR25" s="351">
        <f>IF($W25&lt;=$O$16,$F$105,0)</f>
        <v/>
      </c>
      <c r="BS25" s="353">
        <f>IF($W25=1,SUM($O$103,$O$105),0)</f>
        <v/>
      </c>
      <c r="BT25" s="351">
        <f t="array" ref="BT25">IF($W25&lt;=$O$16,_xlfn.IFS(W25&lt;$F$16,$P$92,W25=$F$16,$P$93,W25&gt;$F$16,$P$94),0)</f>
        <v/>
      </c>
      <c r="BU25" s="352">
        <f>SUM(BO25:BP25,BR25:BT25)</f>
        <v/>
      </c>
      <c r="BV25" s="352">
        <f>BN25-BU25</f>
        <v/>
      </c>
      <c r="BW25" s="342" t="n"/>
      <c r="BX25" s="338">
        <f>IFERROR(-PPMT($P$67,$W25-$F$16,$F$17,SUM(P$31,P$51)),0)</f>
        <v/>
      </c>
      <c r="BY25" s="356">
        <f>IF(BV25-BX25&gt;=0,0,1)</f>
        <v/>
      </c>
      <c r="CA25" s="0" t="n"/>
    </row>
    <row r="26" ht="13.5" customHeight="1" s="302">
      <c r="V26" s="58">
        <f>IF(W26=1,DATE(YEAR($F$18)+(MONTH($F$18)&gt;=4),4,0),EOMONTH(V25,12))</f>
        <v/>
      </c>
      <c r="W26" s="7" t="n">
        <v>10</v>
      </c>
      <c r="X26" s="282">
        <f>IF(W26&gt;$O$16,"-",IF($W26&lt;=$F$16,"整備期間","維持管理・運営期間"))</f>
        <v/>
      </c>
      <c r="Y26" s="344">
        <f>IF($W26=$F$16,$O$61,0)</f>
        <v/>
      </c>
      <c r="Z26" s="345">
        <f>IF($W26=$F$16,$O$63,0)</f>
        <v/>
      </c>
      <c r="AA26" s="345">
        <f>IF($W26=$F$16,$O$62,0)</f>
        <v/>
      </c>
      <c r="AB26" s="345">
        <f>IF(X26="維持管理・運営期間",$F$56,0)</f>
        <v/>
      </c>
      <c r="AC26" s="346">
        <f>SUM(Y26:Z26,AB26)</f>
        <v/>
      </c>
      <c r="AD26" s="344">
        <f>IF($W26=$F$16,$O$30,0)</f>
        <v/>
      </c>
      <c r="AE26" s="345">
        <f>IF($X26="維持管理・運営期間",$O$41,0)</f>
        <v/>
      </c>
      <c r="AF26" s="345">
        <f>IF(AND($W26&gt;0,$W26&lt;=$O$16),$E$45,0)</f>
        <v/>
      </c>
      <c r="AG26" s="396">
        <f>IF(AND(SUM($AA$16:AA25)&gt;0,SUM($AG$16:AG25)&lt;$O$62,$W26&gt;=$O$65),$O$64,0)</f>
        <v/>
      </c>
      <c r="AH26" s="353">
        <f>IF(SUM($AA$17:$AA25)&gt;0,($O$62-SUM($AG$17:$AG25))*$E$65,0)</f>
        <v/>
      </c>
      <c r="AI26" s="346">
        <f>SUM(AD26:AF26)</f>
        <v/>
      </c>
      <c r="AJ26" s="351">
        <f>AC26-AI26</f>
        <v/>
      </c>
      <c r="AK26" s="338">
        <f>(SUM($P$31,$P$51)-SUM($AU$17:AU25))*$O$109</f>
        <v/>
      </c>
      <c r="AL26" s="348" t="n"/>
      <c r="AM26" s="352">
        <f>AJ26*$BF26</f>
        <v/>
      </c>
      <c r="AN26" s="349" t="n"/>
      <c r="AO26" s="350">
        <f>IF($W26=$F$16,$P$61,0)</f>
        <v/>
      </c>
      <c r="AP26" s="351">
        <f>IF($W26=$F$16,$P$63,0)</f>
        <v/>
      </c>
      <c r="AQ26" s="351">
        <f>IF($W26=$F$16,$P$62,0)</f>
        <v/>
      </c>
      <c r="AR26" s="345">
        <f>IF($W26&lt;$O$16,IF(W26=$F$16,$U$92,$U$93),0)</f>
        <v/>
      </c>
      <c r="AS26" s="346">
        <f>SUM(AO26:AP26,AR26)</f>
        <v/>
      </c>
      <c r="AT26" s="345">
        <f>IF(W26=$F$16,$P$30,0)</f>
        <v/>
      </c>
      <c r="AU26" s="345">
        <f>IFERROR(-PPMT($P$36,W26-$F$16,$F$17,SUM(P$31,P$51)),0)</f>
        <v/>
      </c>
      <c r="AV26" s="345">
        <f>IFERROR(-IPMT($P$36,W26-$F$16,$F$17,SUM($P$31,$P$51)),0)</f>
        <v/>
      </c>
      <c r="AW26" s="345">
        <f>IF(AND(W26&gt;$F$16,W26&lt;=SUM($F$16:$F$17)),$P$43,0)</f>
        <v/>
      </c>
      <c r="AX26" s="424">
        <f>IF($W26=1,$F$44,0)+IF(AND($W26&gt;0,$W26&lt;=$O$16),$F$45,0)</f>
        <v/>
      </c>
      <c r="AY26" s="425">
        <f>IF(AND(W26&gt;$F$16,W26&lt;=SUM($F$16:$F$17)),$P$54,0)</f>
        <v/>
      </c>
      <c r="AZ26" s="424">
        <f>IF(AND(SUM($AQ$16:AQ25)&gt;0,SUM($AZ$16:AZ25)&lt;$P$62,$W26&gt;=$P$65),$P$64,0)</f>
        <v/>
      </c>
      <c r="BA26" s="345">
        <f>IF(SUM($AQ$17:$AQ25)&gt;0,($P$62-SUM($AZ$17:$AZ25))*$F$65,0)</f>
        <v/>
      </c>
      <c r="BB26" s="346">
        <f>SUM(AT26:AY26)</f>
        <v/>
      </c>
      <c r="BC26" s="351">
        <f>AS26-BB26</f>
        <v/>
      </c>
      <c r="BD26" s="352">
        <f>BC26*$BF26</f>
        <v/>
      </c>
      <c r="BE26" s="393" t="n"/>
      <c r="BF26" s="46">
        <f>BF25/(1+$O$22)</f>
        <v/>
      </c>
      <c r="BH26" s="350">
        <f>AT26</f>
        <v/>
      </c>
      <c r="BI26" s="350">
        <f>AU26</f>
        <v/>
      </c>
      <c r="BJ26" s="351">
        <f>AV26</f>
        <v/>
      </c>
      <c r="BK26" s="351">
        <f>AW26</f>
        <v/>
      </c>
      <c r="BL26" s="351">
        <f>AY26</f>
        <v/>
      </c>
      <c r="BM26" s="351">
        <f>IF($W26&gt;$F$16,$F$56,0)</f>
        <v/>
      </c>
      <c r="BN26" s="352">
        <f>SUM(BH26:BM26)</f>
        <v/>
      </c>
      <c r="BO26" s="351">
        <f>IF($W26=$F$16,$P$32,0)</f>
        <v/>
      </c>
      <c r="BP26" s="351">
        <f>IF(AND(W26&gt;$F$16,W26&lt;=SUM($F$16:$F$17)),$P$41,0)</f>
        <v/>
      </c>
      <c r="BQ26" s="351">
        <f>IFERROR(-IPMT($P$67,W26-$F$16,$F$17,SUM(P$31,P$51)),0)</f>
        <v/>
      </c>
      <c r="BR26" s="351">
        <f>IF($W26&lt;=$O$16,$F$105,0)</f>
        <v/>
      </c>
      <c r="BS26" s="353">
        <f>IF($W26=1,SUM($O$103,$O$105),0)</f>
        <v/>
      </c>
      <c r="BT26" s="351">
        <f t="array" ref="BT26">IF($W26&lt;=$O$16,_xlfn.IFS(W26&lt;$F$16,$P$92,W26=$F$16,$P$93,W26&gt;$F$16,$P$94),0)</f>
        <v/>
      </c>
      <c r="BU26" s="352">
        <f>SUM(BO26:BP26,BR26:BT26)</f>
        <v/>
      </c>
      <c r="BV26" s="352">
        <f>BN26-BU26</f>
        <v/>
      </c>
      <c r="BW26" s="342" t="n"/>
      <c r="BX26" s="338">
        <f>IFERROR(-PPMT($P$67,$W26-$F$16,$F$17,SUM(P$31,P$51)),0)</f>
        <v/>
      </c>
      <c r="BY26" s="356">
        <f>IF(BV26-BX26&gt;=0,0,1)</f>
        <v/>
      </c>
      <c r="CA26" s="0" t="n"/>
    </row>
    <row r="27" ht="15.75" customHeight="1" s="302">
      <c r="A27" s="4" t="inlineStr">
        <is>
          <t>2．事業にかかる費用</t>
        </is>
      </c>
      <c r="H27" s="72" t="n"/>
      <c r="I27" s="72" t="n"/>
      <c r="J27" s="4" t="inlineStr">
        <is>
          <t>２．事業にかかる費用</t>
        </is>
      </c>
      <c r="V27" s="58">
        <f>IF(W27=1,DATE(YEAR($F$18)+(MONTH($F$18)&gt;=4),4,0),EOMONTH(V26,12))</f>
        <v/>
      </c>
      <c r="W27" s="7" t="n">
        <v>11</v>
      </c>
      <c r="X27" s="282">
        <f>IF(W27&gt;$O$16,"-",IF($W27&lt;=$F$16,"整備期間","維持管理・運営期間"))</f>
        <v/>
      </c>
      <c r="Y27" s="344">
        <f>IF($W27=$F$16,$O$61,0)</f>
        <v/>
      </c>
      <c r="Z27" s="345">
        <f>IF($W27=$F$16,$O$63,0)</f>
        <v/>
      </c>
      <c r="AA27" s="345">
        <f>IF($W27=$F$16,$O$62,0)</f>
        <v/>
      </c>
      <c r="AB27" s="345">
        <f>IF(X27="維持管理・運営期間",$F$56,0)</f>
        <v/>
      </c>
      <c r="AC27" s="346">
        <f>SUM(Y27:Z27,AB27)</f>
        <v/>
      </c>
      <c r="AD27" s="344">
        <f>IF($W27=$F$16,$O$30,0)</f>
        <v/>
      </c>
      <c r="AE27" s="345">
        <f>IF($X27="維持管理・運営期間",$O$41,0)</f>
        <v/>
      </c>
      <c r="AF27" s="345">
        <f>IF(AND($W27&gt;0,$W27&lt;=$O$16),$E$45,0)</f>
        <v/>
      </c>
      <c r="AG27" s="396">
        <f>IF(AND(SUM($AA$16:AA26)&gt;0,SUM($AG$16:AG26)&lt;$O$62,$W27&gt;=$O$65),$O$64,0)</f>
        <v/>
      </c>
      <c r="AH27" s="353">
        <f>IF(SUM($AA$17:$AA26)&gt;0,($O$62-SUM($AG$17:$AG26))*$E$65,0)</f>
        <v/>
      </c>
      <c r="AI27" s="346">
        <f>SUM(AD27:AF27)</f>
        <v/>
      </c>
      <c r="AJ27" s="351">
        <f>AC27-AI27</f>
        <v/>
      </c>
      <c r="AK27" s="338">
        <f>(SUM($P$31,$P$51)-SUM($AU$17:AU26))*$O$109</f>
        <v/>
      </c>
      <c r="AL27" s="348" t="n"/>
      <c r="AM27" s="352">
        <f>AJ27*$BF27</f>
        <v/>
      </c>
      <c r="AN27" s="349" t="n"/>
      <c r="AO27" s="350">
        <f>IF($W27=$F$16,$P$61,0)</f>
        <v/>
      </c>
      <c r="AP27" s="351">
        <f>IF($W27=$F$16,$P$63,0)</f>
        <v/>
      </c>
      <c r="AQ27" s="351">
        <f>IF($W27=$F$16,$P$62,0)</f>
        <v/>
      </c>
      <c r="AR27" s="345">
        <f>IF($W27&lt;$O$16,IF(W27=$F$16,$U$92,$U$93),0)</f>
        <v/>
      </c>
      <c r="AS27" s="346">
        <f>SUM(AO27:AP27,AR27)</f>
        <v/>
      </c>
      <c r="AT27" s="345">
        <f>IF(W27=$F$16,$P$30,0)</f>
        <v/>
      </c>
      <c r="AU27" s="345">
        <f>IFERROR(-PPMT($P$36,W27-$F$16,$F$17,SUM(P$31,P$51)),0)</f>
        <v/>
      </c>
      <c r="AV27" s="345">
        <f>IFERROR(-IPMT($P$36,W27-$F$16,$F$17,SUM($P$31,$P$51)),0)</f>
        <v/>
      </c>
      <c r="AW27" s="345">
        <f>IF(AND(W27&gt;$F$16,W27&lt;=SUM($F$16:$F$17)),$P$43,0)</f>
        <v/>
      </c>
      <c r="AX27" s="424">
        <f>IF($W27=1,$F$44,0)+IF(AND($W27&gt;0,$W27&lt;=$O$16),$F$45,0)</f>
        <v/>
      </c>
      <c r="AY27" s="425">
        <f>IF(AND(W27&gt;$F$16,W27&lt;=SUM($F$16:$F$17)),$P$54,0)</f>
        <v/>
      </c>
      <c r="AZ27" s="424">
        <f>IF(AND(SUM($AQ$16:AQ26)&gt;0,SUM($AZ$16:AZ26)&lt;$P$62,$W27&gt;=$P$65),$P$64,0)</f>
        <v/>
      </c>
      <c r="BA27" s="345">
        <f>IF(SUM($AQ$17:$AQ26)&gt;0,($P$62-SUM($AZ$17:$AZ26))*$F$65,0)</f>
        <v/>
      </c>
      <c r="BB27" s="346">
        <f>SUM(AT27:AY27)</f>
        <v/>
      </c>
      <c r="BC27" s="351">
        <f>AS27-BB27</f>
        <v/>
      </c>
      <c r="BD27" s="352">
        <f>BC27*$BF27</f>
        <v/>
      </c>
      <c r="BE27" s="393" t="n"/>
      <c r="BF27" s="46">
        <f>BF26/(1+$O$22)</f>
        <v/>
      </c>
      <c r="BH27" s="350">
        <f>AT27</f>
        <v/>
      </c>
      <c r="BI27" s="350">
        <f>AU27</f>
        <v/>
      </c>
      <c r="BJ27" s="351">
        <f>AV27</f>
        <v/>
      </c>
      <c r="BK27" s="351">
        <f>AW27</f>
        <v/>
      </c>
      <c r="BL27" s="351">
        <f>AY27</f>
        <v/>
      </c>
      <c r="BM27" s="351">
        <f>IF($W27&gt;$F$16,$F$56,0)</f>
        <v/>
      </c>
      <c r="BN27" s="352">
        <f>SUM(BH27:BM27)</f>
        <v/>
      </c>
      <c r="BO27" s="351">
        <f>IF($W27=$F$16,$P$32,0)</f>
        <v/>
      </c>
      <c r="BP27" s="351">
        <f>IF(AND(W27&gt;$F$16,W27&lt;=SUM($F$16:$F$17)),$P$41,0)</f>
        <v/>
      </c>
      <c r="BQ27" s="351">
        <f>IFERROR(-IPMT($P$67,W27-$F$16,$F$17,SUM(P$31,P$51)),0)</f>
        <v/>
      </c>
      <c r="BR27" s="351">
        <f>IF($W27&lt;=$O$16,$F$105,0)</f>
        <v/>
      </c>
      <c r="BS27" s="353">
        <f>IF($W27=1,SUM($O$103,$O$105),0)</f>
        <v/>
      </c>
      <c r="BT27" s="351">
        <f t="array" ref="BT27">IF($W27&lt;=$O$16,_xlfn.IFS(W27&lt;$F$16,$P$92,W27=$F$16,$P$93,W27&gt;$F$16,$P$94),0)</f>
        <v/>
      </c>
      <c r="BU27" s="352">
        <f>SUM(BO27:BP27,BR27:BT27)</f>
        <v/>
      </c>
      <c r="BV27" s="352">
        <f>BN27-BU27</f>
        <v/>
      </c>
      <c r="BW27" s="342" t="n"/>
      <c r="BX27" s="338">
        <f>IFERROR(-PPMT($P$67,$W27-$F$16,$F$17,SUM(P$31,P$51)),0)</f>
        <v/>
      </c>
      <c r="BY27" s="356">
        <f>IF(BV27-BX27&gt;=0,0,1)</f>
        <v/>
      </c>
      <c r="CA27" s="0" t="n"/>
    </row>
    <row r="28" ht="15.75" customHeight="1" s="302">
      <c r="B28" s="0" t="inlineStr">
        <is>
          <t>2.1施設整備費用</t>
        </is>
      </c>
      <c r="D28" s="0" t="inlineStr">
        <is>
          <t>百万円</t>
        </is>
      </c>
      <c r="F28" s="367">
        <f>SUM(F29:F30)</f>
        <v/>
      </c>
      <c r="J28" s="4" t="inlineStr">
        <is>
          <t>2.1 施設整備費用</t>
        </is>
      </c>
      <c r="O28" s="0" t="inlineStr">
        <is>
          <t>PSC</t>
        </is>
      </c>
      <c r="P28" s="0" t="inlineStr">
        <is>
          <t>PFI-LCC</t>
        </is>
      </c>
      <c r="V28" s="58">
        <f>IF(W28=1,DATE(YEAR($F$18)+(MONTH($F$18)&gt;=4),4,0),EOMONTH(V27,12))</f>
        <v/>
      </c>
      <c r="W28" s="7" t="n">
        <v>12</v>
      </c>
      <c r="X28" s="282">
        <f>IF(W28&gt;$O$16,"-",IF($W28&lt;=$F$16,"整備期間","維持管理・運営期間"))</f>
        <v/>
      </c>
      <c r="Y28" s="344">
        <f>IF($W28=$F$16,$O$61,0)</f>
        <v/>
      </c>
      <c r="Z28" s="345">
        <f>IF($W28=$F$16,$O$63,0)</f>
        <v/>
      </c>
      <c r="AA28" s="345">
        <f>IF($W28=$F$16,$O$62,0)</f>
        <v/>
      </c>
      <c r="AB28" s="345">
        <f>IF(X28="維持管理・運営期間",$F$56,0)</f>
        <v/>
      </c>
      <c r="AC28" s="346">
        <f>SUM(Y28:Z28,AB28)</f>
        <v/>
      </c>
      <c r="AD28" s="344">
        <f>IF($W28=$F$16,$O$30,0)</f>
        <v/>
      </c>
      <c r="AE28" s="345">
        <f>IF($X28="維持管理・運営期間",$O$41,0)</f>
        <v/>
      </c>
      <c r="AF28" s="345">
        <f>IF(AND($W28&gt;0,$W28&lt;=$O$16),$E$45,0)</f>
        <v/>
      </c>
      <c r="AG28" s="396">
        <f>IF(AND(SUM($AA$16:AA27)&gt;0,SUM($AG$16:AG27)&lt;$O$62,$W28&gt;=$O$65),$O$64,0)</f>
        <v/>
      </c>
      <c r="AH28" s="353">
        <f>IF(SUM($AA$17:$AA27)&gt;0,($O$62-SUM($AG$17:$AG27))*$E$65,0)</f>
        <v/>
      </c>
      <c r="AI28" s="346">
        <f>SUM(AD28:AF28)</f>
        <v/>
      </c>
      <c r="AJ28" s="351">
        <f>AC28-AI28</f>
        <v/>
      </c>
      <c r="AK28" s="338">
        <f>(SUM($P$31,$P$51)-SUM($AU$17:AU27))*$O$109</f>
        <v/>
      </c>
      <c r="AL28" s="348" t="n"/>
      <c r="AM28" s="352">
        <f>AJ28*$BF28</f>
        <v/>
      </c>
      <c r="AN28" s="349" t="n"/>
      <c r="AO28" s="350">
        <f>IF($W28=$F$16,$P$61,0)</f>
        <v/>
      </c>
      <c r="AP28" s="351">
        <f>IF($W28=$F$16,$P$63,0)</f>
        <v/>
      </c>
      <c r="AQ28" s="351">
        <f>IF($W28=$F$16,$P$62,0)</f>
        <v/>
      </c>
      <c r="AR28" s="345">
        <f>IF($W28&lt;$O$16,IF(W28=$F$16,$U$92,$U$93),0)</f>
        <v/>
      </c>
      <c r="AS28" s="346">
        <f>SUM(AO28:AP28,AR28)</f>
        <v/>
      </c>
      <c r="AT28" s="345">
        <f>IF(W28=$F$16,$P$30,0)</f>
        <v/>
      </c>
      <c r="AU28" s="345">
        <f>IFERROR(-PPMT($P$36,W28-$F$16,$F$17,SUM(P$31,P$51)),0)</f>
        <v/>
      </c>
      <c r="AV28" s="345">
        <f>IFERROR(-IPMT($P$36,W28-$F$16,$F$17,SUM($P$31,$P$51)),0)</f>
        <v/>
      </c>
      <c r="AW28" s="345">
        <f>IF(AND(W28&gt;$F$16,W28&lt;=SUM($F$16:$F$17)),$P$43,0)</f>
        <v/>
      </c>
      <c r="AX28" s="424">
        <f>IF($W28=1,$F$44,0)+IF(AND($W28&gt;0,$W28&lt;=$O$16),$F$45,0)</f>
        <v/>
      </c>
      <c r="AY28" s="425">
        <f>IF(AND(W28&gt;$F$16,W28&lt;=SUM($F$16:$F$17)),$P$54,0)</f>
        <v/>
      </c>
      <c r="AZ28" s="424">
        <f>IF(AND(SUM($AQ$16:AQ27)&gt;0,SUM($AZ$16:AZ27)&lt;$P$62,$W28&gt;=$P$65),$P$64,0)</f>
        <v/>
      </c>
      <c r="BA28" s="345">
        <f>IF(SUM($AQ$17:$AQ27)&gt;0,($P$62-SUM($AZ$17:$AZ27))*$F$65,0)</f>
        <v/>
      </c>
      <c r="BB28" s="346">
        <f>SUM(AT28:AY28)</f>
        <v/>
      </c>
      <c r="BC28" s="351">
        <f>AS28-BB28</f>
        <v/>
      </c>
      <c r="BD28" s="352">
        <f>BC28*$BF28</f>
        <v/>
      </c>
      <c r="BE28" s="393" t="n"/>
      <c r="BF28" s="46">
        <f>BF27/(1+$O$22)</f>
        <v/>
      </c>
      <c r="BH28" s="350">
        <f>AT28</f>
        <v/>
      </c>
      <c r="BI28" s="350">
        <f>AU28</f>
        <v/>
      </c>
      <c r="BJ28" s="351">
        <f>AV28</f>
        <v/>
      </c>
      <c r="BK28" s="351">
        <f>AW28</f>
        <v/>
      </c>
      <c r="BL28" s="351">
        <f>AY28</f>
        <v/>
      </c>
      <c r="BM28" s="351">
        <f>IF($W28&gt;$F$16,$F$56,0)</f>
        <v/>
      </c>
      <c r="BN28" s="352">
        <f>SUM(BH28:BM28)</f>
        <v/>
      </c>
      <c r="BO28" s="351">
        <f>IF($W28=$F$16,$P$32,0)</f>
        <v/>
      </c>
      <c r="BP28" s="351">
        <f>IF(AND(W28&gt;$F$16,W28&lt;=SUM($F$16:$F$17)),$P$41,0)</f>
        <v/>
      </c>
      <c r="BQ28" s="351">
        <f>IFERROR(-IPMT($P$67,W28-$F$16,$F$17,SUM(P$31,P$51)),0)</f>
        <v/>
      </c>
      <c r="BR28" s="351">
        <f>IF($W28&lt;=$O$16,$F$105,0)</f>
        <v/>
      </c>
      <c r="BS28" s="353">
        <f>IF($W28=1,SUM($O$103,$O$105),0)</f>
        <v/>
      </c>
      <c r="BT28" s="351">
        <f t="array" ref="BT28">IF($W28&lt;=$O$16,_xlfn.IFS(W28&lt;$F$16,$P$92,W28=$F$16,$P$93,W28&gt;$F$16,$P$94),0)</f>
        <v/>
      </c>
      <c r="BU28" s="352">
        <f>SUM(BO28:BP28,BR28:BT28)</f>
        <v/>
      </c>
      <c r="BV28" s="352">
        <f>BN28-BU28</f>
        <v/>
      </c>
      <c r="BW28" s="342" t="n"/>
      <c r="BX28" s="338">
        <f>IFERROR(-PPMT($P$67,$W28-$F$16,$F$17,SUM(P$31,P$51)),0)</f>
        <v/>
      </c>
      <c r="BY28" s="356">
        <f>IF(BV28-BX28&gt;=0,0,1)</f>
        <v/>
      </c>
      <c r="CA28" s="0" t="n"/>
    </row>
    <row r="29" ht="15.75" customHeight="1" s="302">
      <c r="C29" s="2" t="inlineStr">
        <is>
          <t>うち、過去の落札価格を反映</t>
        </is>
      </c>
      <c r="D29" s="0" t="inlineStr">
        <is>
          <t>百万円</t>
        </is>
      </c>
      <c r="F29" s="416">
        <f>事業費用概算!G6</f>
        <v/>
      </c>
      <c r="K29" s="0" t="inlineStr">
        <is>
          <t>施設整備費用</t>
        </is>
      </c>
      <c r="N29" s="19" t="inlineStr">
        <is>
          <t>百万円</t>
        </is>
      </c>
      <c r="O29" s="358">
        <f>F30*$F$50+F29</f>
        <v/>
      </c>
      <c r="P29" s="358">
        <f>F28*(1-F51)</f>
        <v/>
      </c>
      <c r="Q29" s="0" t="inlineStr">
        <is>
          <t>PSCは競争の効果反映、LCCは削減率を反映</t>
        </is>
      </c>
      <c r="V29" s="58">
        <f>IF(W29=1,DATE(YEAR($F$18)+(MONTH($F$18)&gt;=4),4,0),EOMONTH(V28,12))</f>
        <v/>
      </c>
      <c r="W29" s="7" t="n">
        <v>13</v>
      </c>
      <c r="X29" s="282">
        <f>IF(W29&gt;$O$16,"-",IF($W29&lt;=$F$16,"整備期間","維持管理・運営期間"))</f>
        <v/>
      </c>
      <c r="Y29" s="344">
        <f>IF($W29=$F$16,$O$61,0)</f>
        <v/>
      </c>
      <c r="Z29" s="345">
        <f>IF($W29=$F$16,$O$63,0)</f>
        <v/>
      </c>
      <c r="AA29" s="345">
        <f>IF($W29=$F$16,$O$62,0)</f>
        <v/>
      </c>
      <c r="AB29" s="345">
        <f>IF(X29="維持管理・運営期間",$F$56,0)</f>
        <v/>
      </c>
      <c r="AC29" s="346">
        <f>SUM(Y29:Z29,AB29)</f>
        <v/>
      </c>
      <c r="AD29" s="344">
        <f>IF($W29=$F$16,$O$30,0)</f>
        <v/>
      </c>
      <c r="AE29" s="345">
        <f>IF($X29="維持管理・運営期間",$O$41,0)</f>
        <v/>
      </c>
      <c r="AF29" s="345">
        <f>IF(AND($W29&gt;0,$W29&lt;=$O$16),$E$45,0)</f>
        <v/>
      </c>
      <c r="AG29" s="396">
        <f>IF(AND(SUM($AA$16:AA28)&gt;0,SUM($AG$16:AG28)&lt;$O$62,$W29&gt;=$O$65),$O$64,0)</f>
        <v/>
      </c>
      <c r="AH29" s="353">
        <f>IF(SUM($AA$17:$AA28)&gt;0,($O$62-SUM($AG$17:$AG28))*$E$65,0)</f>
        <v/>
      </c>
      <c r="AI29" s="346">
        <f>SUM(AD29:AF29)</f>
        <v/>
      </c>
      <c r="AJ29" s="351">
        <f>AC29-AI29</f>
        <v/>
      </c>
      <c r="AK29" s="338">
        <f>(SUM($P$31,$P$51)-SUM($AU$17:AU28))*$O$109</f>
        <v/>
      </c>
      <c r="AL29" s="348" t="n"/>
      <c r="AM29" s="352">
        <f>AJ29*$BF29</f>
        <v/>
      </c>
      <c r="AN29" s="349" t="n"/>
      <c r="AO29" s="350">
        <f>IF($W29=$F$16,$P$61,0)</f>
        <v/>
      </c>
      <c r="AP29" s="351">
        <f>IF($W29=$F$16,$P$63,0)</f>
        <v/>
      </c>
      <c r="AQ29" s="351">
        <f>IF($W29=$F$16,$P$62,0)</f>
        <v/>
      </c>
      <c r="AR29" s="345">
        <f>IF($W29&lt;$O$16,IF(W29=$F$16,$U$92,$U$93),0)</f>
        <v/>
      </c>
      <c r="AS29" s="346">
        <f>SUM(AO29:AP29,AR29)</f>
        <v/>
      </c>
      <c r="AT29" s="345">
        <f>IF(W29=$F$16,$P$30,0)</f>
        <v/>
      </c>
      <c r="AU29" s="345">
        <f>IFERROR(-PPMT($P$36,W29-$F$16,$F$17,SUM(P$31,P$51)),0)</f>
        <v/>
      </c>
      <c r="AV29" s="345">
        <f>IFERROR(-IPMT($P$36,W29-$F$16,$F$17,SUM($P$31,$P$51)),0)</f>
        <v/>
      </c>
      <c r="AW29" s="345">
        <f>IF(AND(W29&gt;$F$16,W29&lt;=SUM($F$16:$F$17)),$P$43,0)</f>
        <v/>
      </c>
      <c r="AX29" s="424">
        <f>IF($W29=1,$F$44,0)+IF(AND($W29&gt;0,$W29&lt;=$O$16),$F$45,0)</f>
        <v/>
      </c>
      <c r="AY29" s="425">
        <f>IF(AND(W29&gt;$F$16,W29&lt;=SUM($F$16:$F$17)),$P$54,0)</f>
        <v/>
      </c>
      <c r="AZ29" s="424">
        <f>IF(AND(SUM($AQ$16:AQ28)&gt;0,SUM($AZ$16:AZ28)&lt;$P$62,$W29&gt;=$P$65),$P$64,0)</f>
        <v/>
      </c>
      <c r="BA29" s="345">
        <f>IF(SUM($AQ$17:$AQ28)&gt;0,($P$62-SUM($AZ$17:$AZ28))*$F$65,0)</f>
        <v/>
      </c>
      <c r="BB29" s="346">
        <f>SUM(AT29:AY29)</f>
        <v/>
      </c>
      <c r="BC29" s="351">
        <f>AS29-BB29</f>
        <v/>
      </c>
      <c r="BD29" s="352">
        <f>BC29*$BF29</f>
        <v/>
      </c>
      <c r="BE29" s="393" t="n"/>
      <c r="BF29" s="46">
        <f>BF28/(1+$O$22)</f>
        <v/>
      </c>
      <c r="BH29" s="350">
        <f>AT29</f>
        <v/>
      </c>
      <c r="BI29" s="350">
        <f>AU29</f>
        <v/>
      </c>
      <c r="BJ29" s="351">
        <f>AV29</f>
        <v/>
      </c>
      <c r="BK29" s="351">
        <f>AW29</f>
        <v/>
      </c>
      <c r="BL29" s="351">
        <f>AY29</f>
        <v/>
      </c>
      <c r="BM29" s="351">
        <f>IF($W29&gt;$F$16,$F$56,0)</f>
        <v/>
      </c>
      <c r="BN29" s="352">
        <f>SUM(BH29:BM29)</f>
        <v/>
      </c>
      <c r="BO29" s="351">
        <f>IF($W29=$F$16,$P$32,0)</f>
        <v/>
      </c>
      <c r="BP29" s="351">
        <f>IF(AND(W29&gt;$F$16,W29&lt;=SUM($F$16:$F$17)),$P$41,0)</f>
        <v/>
      </c>
      <c r="BQ29" s="351">
        <f>IFERROR(-IPMT($P$67,W29-$F$16,$F$17,SUM(P$31,P$51)),0)</f>
        <v/>
      </c>
      <c r="BR29" s="351">
        <f>IF($W29&lt;=$O$16,$F$105,0)</f>
        <v/>
      </c>
      <c r="BS29" s="353">
        <f>IF($W29=1,SUM($O$103,$O$105),0)</f>
        <v/>
      </c>
      <c r="BT29" s="351">
        <f t="array" ref="BT29">IF($W29&lt;=$O$16,_xlfn.IFS(W29&lt;$F$16,$P$92,W29=$F$16,$P$93,W29&gt;$F$16,$P$94),0)</f>
        <v/>
      </c>
      <c r="BU29" s="352">
        <f>SUM(BO29:BP29,BR29:BT29)</f>
        <v/>
      </c>
      <c r="BV29" s="352">
        <f>BN29-BU29</f>
        <v/>
      </c>
      <c r="BW29" s="342" t="n"/>
      <c r="BX29" s="338">
        <f>IFERROR(-PPMT($P$67,$W29-$F$16,$F$17,SUM(P$31,P$51)),0)</f>
        <v/>
      </c>
      <c r="BY29" s="356">
        <f>IF(BV29-BX29&gt;=0,0,1)</f>
        <v/>
      </c>
      <c r="CA29" s="0" t="n"/>
    </row>
    <row r="30" ht="15.75" customHeight="1" s="302">
      <c r="C30" s="2" t="inlineStr">
        <is>
          <t>うち、PSCの予定価格を反映</t>
        </is>
      </c>
      <c r="D30" s="0" t="inlineStr">
        <is>
          <t>百万円</t>
        </is>
      </c>
      <c r="F30" s="416">
        <f>事業費用概算!G7</f>
        <v/>
      </c>
      <c r="M30" s="56" t="inlineStr">
        <is>
          <t>完工時、一括払</t>
        </is>
      </c>
      <c r="N30" s="19" t="inlineStr">
        <is>
          <t>百万円</t>
        </is>
      </c>
      <c r="O30" s="360">
        <f>O29*E32</f>
        <v/>
      </c>
      <c r="P30" s="360">
        <f>$P$29*F32</f>
        <v/>
      </c>
      <c r="V30" s="58">
        <f>IF(W30=1,DATE(YEAR($F$18)+(MONTH($F$18)&gt;=4),4,0),EOMONTH(V29,12))</f>
        <v/>
      </c>
      <c r="W30" s="7" t="n">
        <v>14</v>
      </c>
      <c r="X30" s="282">
        <f>IF(W30&gt;$O$16,"-",IF($W30&lt;=$F$16,"整備期間","維持管理・運営期間"))</f>
        <v/>
      </c>
      <c r="Y30" s="344">
        <f>IF($W30=$F$16,$O$61,0)</f>
        <v/>
      </c>
      <c r="Z30" s="345">
        <f>IF($W30=$F$16,$O$63,0)</f>
        <v/>
      </c>
      <c r="AA30" s="345">
        <f>IF($W30=$F$16,$O$62,0)</f>
        <v/>
      </c>
      <c r="AB30" s="345">
        <f>IF(X30="維持管理・運営期間",$F$56,0)</f>
        <v/>
      </c>
      <c r="AC30" s="346">
        <f>SUM(Y30:Z30,AB30)</f>
        <v/>
      </c>
      <c r="AD30" s="344">
        <f>IF($W30=$F$16,$O$30,0)</f>
        <v/>
      </c>
      <c r="AE30" s="345">
        <f>IF($X30="維持管理・運営期間",$O$41,0)</f>
        <v/>
      </c>
      <c r="AF30" s="345">
        <f>IF(AND($W30&gt;0,$W30&lt;=$O$16),$E$45,0)</f>
        <v/>
      </c>
      <c r="AG30" s="396">
        <f>IF(AND(SUM($AA$16:AA29)&gt;0,SUM($AG$16:AG29)&lt;$O$62,$W30&gt;=$O$65),$O$64,0)</f>
        <v/>
      </c>
      <c r="AH30" s="353">
        <f>IF(SUM($AA$17:$AA29)&gt;0,($O$62-SUM($AG$17:$AG29))*$E$65,0)</f>
        <v/>
      </c>
      <c r="AI30" s="346">
        <f>SUM(AD30:AF30)</f>
        <v/>
      </c>
      <c r="AJ30" s="351">
        <f>AC30-AI30</f>
        <v/>
      </c>
      <c r="AK30" s="338">
        <f>(SUM($P$31,$P$51)-SUM($AU$17:AU29))*$O$109</f>
        <v/>
      </c>
      <c r="AL30" s="348" t="n"/>
      <c r="AM30" s="352">
        <f>AJ30*$BF30</f>
        <v/>
      </c>
      <c r="AN30" s="349" t="n"/>
      <c r="AO30" s="350">
        <f>IF($W30=$F$16,$P$61,0)</f>
        <v/>
      </c>
      <c r="AP30" s="351">
        <f>IF($W30=$F$16,$P$63,0)</f>
        <v/>
      </c>
      <c r="AQ30" s="351">
        <f>IF($W30=$F$16,$P$62,0)</f>
        <v/>
      </c>
      <c r="AR30" s="345">
        <f>IF($W30&lt;$O$16,IF(W30=$F$16,$U$92,$U$93),0)</f>
        <v/>
      </c>
      <c r="AS30" s="346">
        <f>SUM(AO30:AP30,AR30)</f>
        <v/>
      </c>
      <c r="AT30" s="345">
        <f>IF(W30=$F$16,$P$30,0)</f>
        <v/>
      </c>
      <c r="AU30" s="345">
        <f>IFERROR(-PPMT($P$36,W30-$F$16,$F$17,SUM(P$31,P$51)),0)</f>
        <v/>
      </c>
      <c r="AV30" s="345">
        <f>IFERROR(-IPMT($P$36,W30-$F$16,$F$17,SUM($P$31,$P$51)),0)</f>
        <v/>
      </c>
      <c r="AW30" s="345">
        <f>IF(AND(W30&gt;$F$16,W30&lt;=SUM($F$16:$F$17)),$P$43,0)</f>
        <v/>
      </c>
      <c r="AX30" s="424">
        <f>IF($W30=1,$F$44,0)+IF(AND($W30&gt;0,$W30&lt;=$O$16),$F$45,0)</f>
        <v/>
      </c>
      <c r="AY30" s="425">
        <f>IF(AND(W30&gt;$F$16,W30&lt;=SUM($F$16:$F$17)),$P$54,0)</f>
        <v/>
      </c>
      <c r="AZ30" s="424">
        <f>IF(AND(SUM($AQ$16:AQ29)&gt;0,SUM($AZ$16:AZ29)&lt;$P$62,$W30&gt;=$P$65),$P$64,0)</f>
        <v/>
      </c>
      <c r="BA30" s="345">
        <f>IF(SUM($AQ$17:$AQ29)&gt;0,($P$62-SUM($AZ$17:$AZ29))*$F$65,0)</f>
        <v/>
      </c>
      <c r="BB30" s="346">
        <f>SUM(AT30:AY30)</f>
        <v/>
      </c>
      <c r="BC30" s="351">
        <f>AS30-BB30</f>
        <v/>
      </c>
      <c r="BD30" s="352">
        <f>BC30*$BF30</f>
        <v/>
      </c>
      <c r="BE30" s="393" t="n"/>
      <c r="BF30" s="46">
        <f>BF29/(1+$O$22)</f>
        <v/>
      </c>
      <c r="BH30" s="350">
        <f>AT30</f>
        <v/>
      </c>
      <c r="BI30" s="350">
        <f>AU30</f>
        <v/>
      </c>
      <c r="BJ30" s="351">
        <f>AV30</f>
        <v/>
      </c>
      <c r="BK30" s="351">
        <f>AW30</f>
        <v/>
      </c>
      <c r="BL30" s="351">
        <f>AY30</f>
        <v/>
      </c>
      <c r="BM30" s="351">
        <f>IF($W30&gt;$F$16,$F$56,0)</f>
        <v/>
      </c>
      <c r="BN30" s="352">
        <f>SUM(BH30:BM30)</f>
        <v/>
      </c>
      <c r="BO30" s="351">
        <f>IF($W30=$F$16,$P$32,0)</f>
        <v/>
      </c>
      <c r="BP30" s="351">
        <f>IF(AND(W30&gt;$F$16,W30&lt;=SUM($F$16:$F$17)),$P$41,0)</f>
        <v/>
      </c>
      <c r="BQ30" s="351">
        <f>IFERROR(-IPMT($P$67,W30-$F$16,$F$17,SUM(P$31,P$51)),0)</f>
        <v/>
      </c>
      <c r="BR30" s="351">
        <f>IF($W30&lt;=$O$16,$F$105,0)</f>
        <v/>
      </c>
      <c r="BS30" s="353">
        <f>IF($W30=1,SUM($O$103,$O$105),0)</f>
        <v/>
      </c>
      <c r="BT30" s="351">
        <f t="array" ref="BT30">IF($W30&lt;=$O$16,_xlfn.IFS(W30&lt;$F$16,$P$92,W30=$F$16,$P$93,W30&gt;$F$16,$P$94),0)</f>
        <v/>
      </c>
      <c r="BU30" s="352">
        <f>SUM(BO30:BP30,BR30:BT30)</f>
        <v/>
      </c>
      <c r="BV30" s="352">
        <f>BN30-BU30</f>
        <v/>
      </c>
      <c r="BW30" s="342" t="n"/>
      <c r="BX30" s="338">
        <f>IFERROR(-PPMT($P$67,$W30-$F$16,$F$17,SUM(P$31,P$51)),0)</f>
        <v/>
      </c>
      <c r="BY30" s="356">
        <f>IF(BV30-BX30&gt;=0,0,1)</f>
        <v/>
      </c>
      <c r="CA30" s="0" t="n"/>
    </row>
    <row r="31" ht="15.75" customHeight="1" s="302">
      <c r="C31" s="0" t="inlineStr">
        <is>
          <t>施設整備費用の支払内訳</t>
        </is>
      </c>
      <c r="E31" s="19" t="inlineStr">
        <is>
          <t>PSC</t>
        </is>
      </c>
      <c r="F31" s="19" t="inlineStr">
        <is>
          <t>PFI-LCC</t>
        </is>
      </c>
      <c r="M31" s="56" t="inlineStr">
        <is>
          <t>完工後、割賦払</t>
        </is>
      </c>
      <c r="N31" s="19" t="inlineStr">
        <is>
          <t>百万円</t>
        </is>
      </c>
      <c r="O31" s="360">
        <f>O30*E33</f>
        <v/>
      </c>
      <c r="P31" s="360">
        <f>$P$29*F33</f>
        <v/>
      </c>
      <c r="V31" s="58">
        <f>IF(W31=1,DATE(YEAR($F$18)+(MONTH($F$18)&gt;=4),4,0),EOMONTH(V30,12))</f>
        <v/>
      </c>
      <c r="W31" s="7" t="n">
        <v>15</v>
      </c>
      <c r="X31" s="282">
        <f>IF(W31&gt;$O$16,"-",IF($W31&lt;=$F$16,"整備期間","維持管理・運営期間"))</f>
        <v/>
      </c>
      <c r="Y31" s="344">
        <f>IF($W31=$F$16,$O$61,0)</f>
        <v/>
      </c>
      <c r="Z31" s="345">
        <f>IF($W31=$F$16,$O$63,0)</f>
        <v/>
      </c>
      <c r="AA31" s="345">
        <f>IF($W31=$F$16,$O$62,0)</f>
        <v/>
      </c>
      <c r="AB31" s="345">
        <f>IF(X31="維持管理・運営期間",$F$56,0)</f>
        <v/>
      </c>
      <c r="AC31" s="346">
        <f>SUM(Y31:Z31,AB31)</f>
        <v/>
      </c>
      <c r="AD31" s="344">
        <f>IF($W31=$F$16,$O$30,0)</f>
        <v/>
      </c>
      <c r="AE31" s="345">
        <f>IF($X31="維持管理・運営期間",$O$41,0)</f>
        <v/>
      </c>
      <c r="AF31" s="345">
        <f>IF(AND($W31&gt;0,$W31&lt;=$O$16),$E$45,0)</f>
        <v/>
      </c>
      <c r="AG31" s="396">
        <f>IF(AND(SUM($AA$16:AA30)&gt;0,SUM($AG$16:AG30)&lt;$O$62,$W31&gt;=$O$65),$O$64,0)</f>
        <v/>
      </c>
      <c r="AH31" s="353">
        <f>IF(SUM($AA$17:$AA30)&gt;0,($O$62-SUM($AG$17:$AG30))*$E$65,0)</f>
        <v/>
      </c>
      <c r="AI31" s="346">
        <f>SUM(AD31:AF31)</f>
        <v/>
      </c>
      <c r="AJ31" s="351">
        <f>AC31-AI31</f>
        <v/>
      </c>
      <c r="AK31" s="338">
        <f>(SUM($P$31,$P$51)-SUM($AU$17:AU30))*$O$109</f>
        <v/>
      </c>
      <c r="AL31" s="348" t="n"/>
      <c r="AM31" s="352">
        <f>AJ31*$BF31</f>
        <v/>
      </c>
      <c r="AN31" s="349" t="n"/>
      <c r="AO31" s="350">
        <f>IF($W31=$F$16,$P$61,0)</f>
        <v/>
      </c>
      <c r="AP31" s="351">
        <f>IF($W31=$F$16,$P$63,0)</f>
        <v/>
      </c>
      <c r="AQ31" s="351">
        <f>IF($W31=$F$16,$P$62,0)</f>
        <v/>
      </c>
      <c r="AR31" s="345">
        <f>IF($W31&lt;$O$16,IF(W31=$F$16,$U$92,$U$93),0)</f>
        <v/>
      </c>
      <c r="AS31" s="346">
        <f>SUM(AO31:AP31,AR31)</f>
        <v/>
      </c>
      <c r="AT31" s="345">
        <f>IF(W31=$F$16,$P$30,0)</f>
        <v/>
      </c>
      <c r="AU31" s="345">
        <f>IFERROR(-PPMT($P$36,W31-$F$16,$F$17,SUM(P$31,P$51)),0)</f>
        <v/>
      </c>
      <c r="AV31" s="345">
        <f>IFERROR(-IPMT($P$36,W31-$F$16,$F$17,SUM($P$31,$P$51)),0)</f>
        <v/>
      </c>
      <c r="AW31" s="345">
        <f>IF(AND(W31&gt;$F$16,W31&lt;=SUM($F$16:$F$17)),$P$43,0)</f>
        <v/>
      </c>
      <c r="AX31" s="424">
        <f>IF($W31=1,$F$44,0)+IF(AND($W31&gt;0,$W31&lt;=$O$16),$F$45,0)</f>
        <v/>
      </c>
      <c r="AY31" s="425">
        <f>IF(AND(W31&gt;$F$16,W31&lt;=SUM($F$16:$F$17)),$P$54,0)</f>
        <v/>
      </c>
      <c r="AZ31" s="424">
        <f>IF(AND(SUM($AQ$16:AQ30)&gt;0,SUM($AZ$16:AZ30)&lt;$P$62,$W31&gt;=$P$65),$P$64,0)</f>
        <v/>
      </c>
      <c r="BA31" s="345">
        <f>IF(SUM($AQ$17:$AQ30)&gt;0,($P$62-SUM($AZ$17:$AZ30))*$F$65,0)</f>
        <v/>
      </c>
      <c r="BB31" s="346">
        <f>SUM(AT31:AY31)</f>
        <v/>
      </c>
      <c r="BC31" s="351">
        <f>AS31-BB31</f>
        <v/>
      </c>
      <c r="BD31" s="352">
        <f>BC31*$BF31</f>
        <v/>
      </c>
      <c r="BE31" s="393" t="n"/>
      <c r="BF31" s="46">
        <f>BF30/(1+$O$22)</f>
        <v/>
      </c>
      <c r="BH31" s="350">
        <f>AT31</f>
        <v/>
      </c>
      <c r="BI31" s="350">
        <f>AU31</f>
        <v/>
      </c>
      <c r="BJ31" s="351">
        <f>AV31</f>
        <v/>
      </c>
      <c r="BK31" s="351">
        <f>AW31</f>
        <v/>
      </c>
      <c r="BL31" s="351">
        <f>AY31</f>
        <v/>
      </c>
      <c r="BM31" s="351">
        <f>IF($W31&gt;$F$16,$F$56,0)</f>
        <v/>
      </c>
      <c r="BN31" s="352">
        <f>SUM(BH31:BM31)</f>
        <v/>
      </c>
      <c r="BO31" s="351">
        <f>IF($W31=$F$16,$P$32,0)</f>
        <v/>
      </c>
      <c r="BP31" s="351">
        <f>IF(AND(W31&gt;$F$16,W31&lt;=SUM($F$16:$F$17)),$P$41,0)</f>
        <v/>
      </c>
      <c r="BQ31" s="351">
        <f>IFERROR(-IPMT($P$67,W31-$F$16,$F$17,SUM(P$31,P$51)),0)</f>
        <v/>
      </c>
      <c r="BR31" s="351">
        <f>IF($W31&lt;=$O$16,$F$105,0)</f>
        <v/>
      </c>
      <c r="BS31" s="353">
        <f>IF($W31=1,SUM($O$103,$O$105),0)</f>
        <v/>
      </c>
      <c r="BT31" s="351">
        <f t="array" ref="BT31">IF($W31&lt;=$O$16,_xlfn.IFS(W31&lt;$F$16,$P$92,W31=$F$16,$P$93,W31&gt;$F$16,$P$94),0)</f>
        <v/>
      </c>
      <c r="BU31" s="352">
        <f>SUM(BO31:BP31,BR31:BT31)</f>
        <v/>
      </c>
      <c r="BV31" s="352">
        <f>BN31-BU31</f>
        <v/>
      </c>
      <c r="BW31" s="342" t="n"/>
      <c r="BX31" s="338">
        <f>IFERROR(-PPMT($P$67,$W31-$F$16,$F$17,SUM(P$31,P$51)),0)</f>
        <v/>
      </c>
      <c r="BY31" s="356">
        <f>IF(BV31-BX31&gt;=0,0,1)</f>
        <v/>
      </c>
      <c r="CA31" s="0" t="n"/>
    </row>
    <row r="32" ht="15.75" customHeight="1" s="302">
      <c r="C32" s="2" t="inlineStr">
        <is>
          <t>完工時、一括払</t>
        </is>
      </c>
      <c r="D32" s="0" t="inlineStr">
        <is>
          <t>％</t>
        </is>
      </c>
      <c r="E32" s="268" t="n">
        <v>1</v>
      </c>
      <c r="F32" s="3" t="n">
        <v>0.5</v>
      </c>
      <c r="M32" s="56" t="inlineStr">
        <is>
          <t>施設整備費用合計</t>
        </is>
      </c>
      <c r="N32" s="19" t="inlineStr">
        <is>
          <t>百万円</t>
        </is>
      </c>
      <c r="O32" s="360">
        <f>SUM(O30:O31)</f>
        <v/>
      </c>
      <c r="P32" s="360">
        <f>SUM(P30:P31)</f>
        <v/>
      </c>
      <c r="V32" s="58">
        <f>IF(W32=1,DATE(YEAR($F$18)+(MONTH($F$18)&gt;=4),4,0),EOMONTH(V31,12))</f>
        <v/>
      </c>
      <c r="W32" s="7" t="n">
        <v>16</v>
      </c>
      <c r="X32" s="282">
        <f>IF(W32&gt;$O$16,"-",IF($W32&lt;=$F$16,"整備期間","維持管理・運営期間"))</f>
        <v/>
      </c>
      <c r="Y32" s="344">
        <f>IF($W32=$F$16,$O$61,0)</f>
        <v/>
      </c>
      <c r="Z32" s="345">
        <f>IF($W32=$F$16,$O$63,0)</f>
        <v/>
      </c>
      <c r="AA32" s="345">
        <f>IF($W32=$F$16,$O$62,0)</f>
        <v/>
      </c>
      <c r="AB32" s="345">
        <f>IF(X32="維持管理・運営期間",$F$56,0)</f>
        <v/>
      </c>
      <c r="AC32" s="346">
        <f>SUM(Y32:Z32,AB32)</f>
        <v/>
      </c>
      <c r="AD32" s="344">
        <f>IF($W32=$F$16,$O$30,0)</f>
        <v/>
      </c>
      <c r="AE32" s="345">
        <f>IF($X32="維持管理・運営期間",$O$41,0)</f>
        <v/>
      </c>
      <c r="AF32" s="345">
        <f>IF(AND($W32&gt;0,$W32&lt;=$O$16),$E$45,0)</f>
        <v/>
      </c>
      <c r="AG32" s="396">
        <f>IF(AND(SUM($AA$16:AA31)&gt;0,SUM($AG$16:AG31)&lt;$O$62,$W32&gt;=$O$65),$O$64,0)</f>
        <v/>
      </c>
      <c r="AH32" s="353">
        <f>IF(SUM($AA$17:$AA31)&gt;0,($O$62-SUM($AG$17:$AG31))*$E$65,0)</f>
        <v/>
      </c>
      <c r="AI32" s="346">
        <f>SUM(AD32:AF32)</f>
        <v/>
      </c>
      <c r="AJ32" s="351">
        <f>AC32-AI32</f>
        <v/>
      </c>
      <c r="AK32" s="338">
        <f>(SUM($P$31,$P$51)-SUM($AU$17:AU31))*$O$109</f>
        <v/>
      </c>
      <c r="AL32" s="348" t="n"/>
      <c r="AM32" s="352">
        <f>AJ32*$BF32</f>
        <v/>
      </c>
      <c r="AN32" s="349" t="n"/>
      <c r="AO32" s="350">
        <f>IF($W32=$F$16,$P$61,0)</f>
        <v/>
      </c>
      <c r="AP32" s="351">
        <f>IF($W32=$F$16,$P$63,0)</f>
        <v/>
      </c>
      <c r="AQ32" s="351">
        <f>IF($W32=$F$16,$P$62,0)</f>
        <v/>
      </c>
      <c r="AR32" s="345">
        <f>IF($W32&lt;$O$16,IF(W32=$F$16,$U$92,$U$93),0)</f>
        <v/>
      </c>
      <c r="AS32" s="346">
        <f>SUM(AO32:AP32,AR32)</f>
        <v/>
      </c>
      <c r="AT32" s="345">
        <f>IF(W32=$F$16,$P$30,0)</f>
        <v/>
      </c>
      <c r="AU32" s="345">
        <f>IFERROR(-PPMT($P$36,W32-$F$16,$F$17,SUM(P$31,P$51)),0)</f>
        <v/>
      </c>
      <c r="AV32" s="345">
        <f>IFERROR(-IPMT($P$36,W32-$F$16,$F$17,SUM($P$31,$P$51)),0)</f>
        <v/>
      </c>
      <c r="AW32" s="345">
        <f>IF(AND(W32&gt;$F$16,W32&lt;=SUM($F$16:$F$17)),$P$43,0)</f>
        <v/>
      </c>
      <c r="AX32" s="424">
        <f>IF($W32=1,$F$44,0)+IF(AND($W32&gt;0,$W32&lt;=$O$16),$F$45,0)</f>
        <v/>
      </c>
      <c r="AY32" s="425">
        <f>IF(AND(W32&gt;$F$16,W32&lt;=SUM($F$16:$F$17)),$P$54,0)</f>
        <v/>
      </c>
      <c r="AZ32" s="424">
        <f>IF(AND(SUM($AQ$16:AQ31)&gt;0,SUM($AZ$16:AZ31)&lt;$P$62,$W32&gt;=$P$65),$P$64,0)</f>
        <v/>
      </c>
      <c r="BA32" s="345">
        <f>IF(SUM($AQ$17:$AQ31)&gt;0,($P$62-SUM($AZ$17:$AZ31))*$F$65,0)</f>
        <v/>
      </c>
      <c r="BB32" s="346">
        <f>SUM(AT32:AY32)</f>
        <v/>
      </c>
      <c r="BC32" s="351">
        <f>AS32-BB32</f>
        <v/>
      </c>
      <c r="BD32" s="352">
        <f>BC32*$BF32</f>
        <v/>
      </c>
      <c r="BE32" s="393" t="n"/>
      <c r="BF32" s="46">
        <f>BF31/(1+$O$22)</f>
        <v/>
      </c>
      <c r="BH32" s="350">
        <f>AT32</f>
        <v/>
      </c>
      <c r="BI32" s="350">
        <f>AU32</f>
        <v/>
      </c>
      <c r="BJ32" s="351">
        <f>AV32</f>
        <v/>
      </c>
      <c r="BK32" s="351">
        <f>AW32</f>
        <v/>
      </c>
      <c r="BL32" s="351">
        <f>AY32</f>
        <v/>
      </c>
      <c r="BM32" s="351">
        <f>IF($W32&gt;$F$16,$F$56,0)</f>
        <v/>
      </c>
      <c r="BN32" s="352">
        <f>SUM(BH32:BM32)</f>
        <v/>
      </c>
      <c r="BO32" s="351">
        <f>IF($W32=$F$16,$P$32,0)</f>
        <v/>
      </c>
      <c r="BP32" s="351">
        <f>IF(AND(W32&gt;$F$16,W32&lt;=SUM($F$16:$F$17)),$P$41,0)</f>
        <v/>
      </c>
      <c r="BQ32" s="351">
        <f>IFERROR(-IPMT($P$67,W32-$F$16,$F$17,SUM(P$31,P$51)),0)</f>
        <v/>
      </c>
      <c r="BR32" s="351">
        <f>IF($W32&lt;=$O$16,$F$105,0)</f>
        <v/>
      </c>
      <c r="BS32" s="353">
        <f>IF($W32=1,SUM($O$103,$O$105),0)</f>
        <v/>
      </c>
      <c r="BT32" s="351">
        <f t="array" ref="BT32">IF($W32&lt;=$O$16,_xlfn.IFS(W32&lt;$F$16,$P$92,W32=$F$16,$P$93,W32&gt;$F$16,$P$94),0)</f>
        <v/>
      </c>
      <c r="BU32" s="352">
        <f>SUM(BO32:BP32,BR32:BT32)</f>
        <v/>
      </c>
      <c r="BV32" s="352">
        <f>BN32-BU32</f>
        <v/>
      </c>
      <c r="BW32" s="342" t="n"/>
      <c r="BX32" s="338">
        <f>IFERROR(-PPMT($P$67,$W32-$F$16,$F$17,SUM(P$31,P$51)),0)</f>
        <v/>
      </c>
      <c r="BY32" s="356">
        <f>IF(BV32-BX32&gt;=0,0,1)</f>
        <v/>
      </c>
      <c r="CA32" s="0" t="n"/>
    </row>
    <row r="33" ht="15.75" customHeight="1" s="302">
      <c r="C33" s="2" t="inlineStr">
        <is>
          <t>完工後、割賦払</t>
        </is>
      </c>
      <c r="D33" s="0" t="inlineStr">
        <is>
          <t>％</t>
        </is>
      </c>
      <c r="E33" s="139" t="n"/>
      <c r="F33" s="3" t="n">
        <v>0.5</v>
      </c>
      <c r="V33" s="58">
        <f>IF(W33=1,DATE(YEAR($F$18)+(MONTH($F$18)&gt;=4),4,0),EOMONTH(V32,12))</f>
        <v/>
      </c>
      <c r="W33" s="7" t="n">
        <v>17</v>
      </c>
      <c r="X33" s="282">
        <f>IF(W33&gt;$O$16,"-",IF($W33&lt;=$F$16,"整備期間","維持管理・運営期間"))</f>
        <v/>
      </c>
      <c r="Y33" s="344">
        <f>IF($W33=$F$16,$O$61,0)</f>
        <v/>
      </c>
      <c r="Z33" s="345">
        <f>IF($W33=$F$16,$O$63,0)</f>
        <v/>
      </c>
      <c r="AA33" s="345">
        <f>IF($W33=$F$16,$O$62,0)</f>
        <v/>
      </c>
      <c r="AB33" s="345">
        <f>IF(X33="維持管理・運営期間",$F$56,0)</f>
        <v/>
      </c>
      <c r="AC33" s="346">
        <f>SUM(Y33:Z33,AB33)</f>
        <v/>
      </c>
      <c r="AD33" s="344">
        <f>IF($W33=$F$16,$O$30,0)</f>
        <v/>
      </c>
      <c r="AE33" s="345">
        <f>IF($X33="維持管理・運営期間",$O$41,0)</f>
        <v/>
      </c>
      <c r="AF33" s="345">
        <f>IF(AND($W33&gt;0,$W33&lt;=$O$16),$E$45,0)</f>
        <v/>
      </c>
      <c r="AG33" s="396">
        <f>IF(AND(SUM($AA$16:AA32)&gt;0,SUM($AG$16:AG32)&lt;$O$62,$W33&gt;=$O$65),$O$64,0)</f>
        <v/>
      </c>
      <c r="AH33" s="353">
        <f>IF(SUM($AA$17:$AA32)&gt;0,($O$62-SUM($AG$17:$AG32))*$E$65,0)</f>
        <v/>
      </c>
      <c r="AI33" s="346">
        <f>SUM(AD33:AF33)</f>
        <v/>
      </c>
      <c r="AJ33" s="351">
        <f>AC33-AI33</f>
        <v/>
      </c>
      <c r="AK33" s="338">
        <f>(SUM($P$31,$P$51)-SUM($AU$17:AU32))*$O$109</f>
        <v/>
      </c>
      <c r="AL33" s="348" t="n"/>
      <c r="AM33" s="352">
        <f>AJ33*$BF33</f>
        <v/>
      </c>
      <c r="AN33" s="349" t="n"/>
      <c r="AO33" s="350">
        <f>IF($W33=$F$16,$P$61,0)</f>
        <v/>
      </c>
      <c r="AP33" s="351">
        <f>IF($W33=$F$16,$P$63,0)</f>
        <v/>
      </c>
      <c r="AQ33" s="351">
        <f>IF($W33=$F$16,$P$62,0)</f>
        <v/>
      </c>
      <c r="AR33" s="345">
        <f>IF($W33&lt;$O$16,IF(W33=$F$16,$U$92,$U$93),0)</f>
        <v/>
      </c>
      <c r="AS33" s="346">
        <f>SUM(AO33:AP33,AR33)</f>
        <v/>
      </c>
      <c r="AT33" s="345">
        <f>IF(W33=$F$16,$P$30,0)</f>
        <v/>
      </c>
      <c r="AU33" s="345">
        <f>IFERROR(-PPMT($P$36,W33-$F$16,$F$17,SUM(P$31,P$51)),0)</f>
        <v/>
      </c>
      <c r="AV33" s="345">
        <f>IFERROR(-IPMT($P$36,W33-$F$16,$F$17,SUM($P$31,$P$51)),0)</f>
        <v/>
      </c>
      <c r="AW33" s="345">
        <f>IF(AND(W33&gt;$F$16,W33&lt;=SUM($F$16:$F$17)),$P$43,0)</f>
        <v/>
      </c>
      <c r="AX33" s="424">
        <f>IF($W33=1,$F$44,0)+IF(AND($W33&gt;0,$W33&lt;=$O$16),$F$45,0)</f>
        <v/>
      </c>
      <c r="AY33" s="425">
        <f>IF(AND(W33&gt;$F$16,W33&lt;=SUM($F$16:$F$17)),$P$54,0)</f>
        <v/>
      </c>
      <c r="AZ33" s="424">
        <f>IF(AND(SUM($AQ$16:AQ32)&gt;0,SUM($AZ$16:AZ32)&lt;$P$62,$W33&gt;=$P$65),$P$64,0)</f>
        <v/>
      </c>
      <c r="BA33" s="345">
        <f>IF(SUM($AQ$17:$AQ32)&gt;0,($P$62-SUM($AZ$17:$AZ32))*$F$65,0)</f>
        <v/>
      </c>
      <c r="BB33" s="346">
        <f>SUM(AT33:AY33)</f>
        <v/>
      </c>
      <c r="BC33" s="351">
        <f>AS33-BB33</f>
        <v/>
      </c>
      <c r="BD33" s="352">
        <f>BC33*$BF33</f>
        <v/>
      </c>
      <c r="BE33" s="393" t="n"/>
      <c r="BF33" s="46">
        <f>BF32/(1+$O$22)</f>
        <v/>
      </c>
      <c r="BH33" s="350">
        <f>AT33</f>
        <v/>
      </c>
      <c r="BI33" s="350">
        <f>AU33</f>
        <v/>
      </c>
      <c r="BJ33" s="351">
        <f>AV33</f>
        <v/>
      </c>
      <c r="BK33" s="351">
        <f>AW33</f>
        <v/>
      </c>
      <c r="BL33" s="351">
        <f>AY33</f>
        <v/>
      </c>
      <c r="BM33" s="351">
        <f>IF($W33&gt;$F$16,$F$56,0)</f>
        <v/>
      </c>
      <c r="BN33" s="352">
        <f>SUM(BH33:BM33)</f>
        <v/>
      </c>
      <c r="BO33" s="351">
        <f>IF($W33=$F$16,$P$32,0)</f>
        <v/>
      </c>
      <c r="BP33" s="351">
        <f>IF(AND(W33&gt;$F$16,W33&lt;=SUM($F$16:$F$17)),$P$41,0)</f>
        <v/>
      </c>
      <c r="BQ33" s="351">
        <f>IFERROR(-IPMT($P$67,W33-$F$16,$F$17,SUM(P$31,P$51)),0)</f>
        <v/>
      </c>
      <c r="BR33" s="351">
        <f>IF($W33&lt;=$O$16,$F$105,0)</f>
        <v/>
      </c>
      <c r="BS33" s="353">
        <f>IF($W33=1,SUM($O$103,$O$105),0)</f>
        <v/>
      </c>
      <c r="BT33" s="351">
        <f t="array" ref="BT33">IF($W33&lt;=$O$16,_xlfn.IFS(W33&lt;$F$16,$P$92,W33=$F$16,$P$93,W33&gt;$F$16,$P$94),0)</f>
        <v/>
      </c>
      <c r="BU33" s="352">
        <f>SUM(BO33:BP33,BR33:BT33)</f>
        <v/>
      </c>
      <c r="BV33" s="352">
        <f>BN33-BU33</f>
        <v/>
      </c>
      <c r="BW33" s="342" t="n"/>
      <c r="BX33" s="338">
        <f>IFERROR(-PPMT($P$67,$W33-$F$16,$F$17,SUM(P$31,P$51)),0)</f>
        <v/>
      </c>
      <c r="BY33" s="356">
        <f>IF(BV33-BX33&gt;=0,0,1)</f>
        <v/>
      </c>
      <c r="CA33" s="0" t="n"/>
    </row>
    <row r="34" ht="15.75" customHeight="1" s="302">
      <c r="E34" s="13">
        <f>SUM(E32:E33)</f>
        <v/>
      </c>
      <c r="F34" s="13">
        <f>SUM(F32:F33)</f>
        <v/>
      </c>
      <c r="V34" s="58">
        <f>IF(W34=1,DATE(YEAR($F$18)+(MONTH($F$18)&gt;=4),4,0),EOMONTH(V33,12))</f>
        <v/>
      </c>
      <c r="W34" s="7" t="n">
        <v>18</v>
      </c>
      <c r="X34" s="282">
        <f>IF(W34&gt;$O$16,"-",IF($W34&lt;=$F$16,"整備期間","維持管理・運営期間"))</f>
        <v/>
      </c>
      <c r="Y34" s="344">
        <f>IF($W34=$F$16,$O$61,0)</f>
        <v/>
      </c>
      <c r="Z34" s="345">
        <f>IF($W34=$F$16,$O$63,0)</f>
        <v/>
      </c>
      <c r="AA34" s="345">
        <f>IF($W34=$F$16,$O$62,0)</f>
        <v/>
      </c>
      <c r="AB34" s="345">
        <f>IF(X34="維持管理・運営期間",$F$56,0)</f>
        <v/>
      </c>
      <c r="AC34" s="346">
        <f>SUM(Y34:Z34,AB34)</f>
        <v/>
      </c>
      <c r="AD34" s="344">
        <f>IF($W34=$F$16,$O$30,0)</f>
        <v/>
      </c>
      <c r="AE34" s="345">
        <f>IF($X34="維持管理・運営期間",$O$41,0)</f>
        <v/>
      </c>
      <c r="AF34" s="345">
        <f>IF(AND($W34&gt;0,$W34&lt;=$O$16),$E$45,0)</f>
        <v/>
      </c>
      <c r="AG34" s="396">
        <f>IF(AND(SUM($AA$16:AA33)&gt;0,SUM($AG$16:AG33)&lt;$O$62,$W34&gt;=$O$65),$O$64,0)</f>
        <v/>
      </c>
      <c r="AH34" s="353">
        <f>IF(SUM($AA$17:$AA33)&gt;0,($O$62-SUM($AG$17:$AG33))*$E$65,0)</f>
        <v/>
      </c>
      <c r="AI34" s="346">
        <f>SUM(AD34:AF34)</f>
        <v/>
      </c>
      <c r="AJ34" s="351">
        <f>AC34-AI34</f>
        <v/>
      </c>
      <c r="AK34" s="338">
        <f>(SUM($P$31,$P$51)-SUM($AU$17:AU33))*$O$109</f>
        <v/>
      </c>
      <c r="AL34" s="348" t="n"/>
      <c r="AM34" s="352">
        <f>AJ34*$BF34</f>
        <v/>
      </c>
      <c r="AN34" s="349" t="n"/>
      <c r="AO34" s="350">
        <f>IF($W34=$F$16,$P$61,0)</f>
        <v/>
      </c>
      <c r="AP34" s="351">
        <f>IF($W34=$F$16,$P$63,0)</f>
        <v/>
      </c>
      <c r="AQ34" s="351">
        <f>IF($W34=$F$16,$P$62,0)</f>
        <v/>
      </c>
      <c r="AR34" s="345">
        <f>IF($W34&lt;$O$16,IF(W34=$F$16,$U$92,$U$93),0)</f>
        <v/>
      </c>
      <c r="AS34" s="346">
        <f>SUM(AO34:AP34,AR34)</f>
        <v/>
      </c>
      <c r="AT34" s="345">
        <f>IF(W34=$F$16,$P$30,0)</f>
        <v/>
      </c>
      <c r="AU34" s="345">
        <f>IFERROR(-PPMT($P$36,W34-$F$16,$F$17,SUM(P$31,P$51)),0)</f>
        <v/>
      </c>
      <c r="AV34" s="345">
        <f>IFERROR(-IPMT($P$36,W34-$F$16,$F$17,SUM($P$31,$P$51)),0)</f>
        <v/>
      </c>
      <c r="AW34" s="345">
        <f>IF(AND(W34&gt;$F$16,W34&lt;=SUM($F$16:$F$17)),$P$43,0)</f>
        <v/>
      </c>
      <c r="AX34" s="424">
        <f>IF($W34=1,$F$44,0)+IF(AND($W34&gt;0,$W34&lt;=$O$16),$F$45,0)</f>
        <v/>
      </c>
      <c r="AY34" s="425">
        <f>IF(AND(W34&gt;$F$16,W34&lt;=SUM($F$16:$F$17)),$P$54,0)</f>
        <v/>
      </c>
      <c r="AZ34" s="424">
        <f>IF(AND(SUM($AQ$16:AQ33)&gt;0,SUM($AZ$16:AZ33)&lt;$P$62,$W34&gt;=$P$65),$P$64,0)</f>
        <v/>
      </c>
      <c r="BA34" s="345">
        <f>IF(SUM($AQ$17:$AQ33)&gt;0,($P$62-SUM($AZ$17:$AZ33))*$F$65,0)</f>
        <v/>
      </c>
      <c r="BB34" s="346">
        <f>SUM(AT34:AY34)</f>
        <v/>
      </c>
      <c r="BC34" s="351">
        <f>AS34-BB34</f>
        <v/>
      </c>
      <c r="BD34" s="352">
        <f>BC34*$BF34</f>
        <v/>
      </c>
      <c r="BE34" s="393" t="n"/>
      <c r="BF34" s="46">
        <f>BF33/(1+$O$22)</f>
        <v/>
      </c>
      <c r="BH34" s="350">
        <f>AT34</f>
        <v/>
      </c>
      <c r="BI34" s="350">
        <f>AU34</f>
        <v/>
      </c>
      <c r="BJ34" s="351">
        <f>AV34</f>
        <v/>
      </c>
      <c r="BK34" s="351">
        <f>AW34</f>
        <v/>
      </c>
      <c r="BL34" s="351">
        <f>AY34</f>
        <v/>
      </c>
      <c r="BM34" s="351">
        <f>IF($W34&gt;$F$16,$F$56,0)</f>
        <v/>
      </c>
      <c r="BN34" s="352">
        <f>SUM(BH34:BM34)</f>
        <v/>
      </c>
      <c r="BO34" s="351">
        <f>IF($W34=$F$16,$P$32,0)</f>
        <v/>
      </c>
      <c r="BP34" s="351">
        <f>IF(AND(W34&gt;$F$16,W34&lt;=SUM($F$16:$F$17)),$P$41,0)</f>
        <v/>
      </c>
      <c r="BQ34" s="351">
        <f>IFERROR(-IPMT($P$67,W34-$F$16,$F$17,SUM(P$31,P$51)),0)</f>
        <v/>
      </c>
      <c r="BR34" s="351">
        <f>IF($W34&lt;=$O$16,$F$105,0)</f>
        <v/>
      </c>
      <c r="BS34" s="353">
        <f>IF($W34=1,SUM($O$103,$O$105),0)</f>
        <v/>
      </c>
      <c r="BT34" s="351">
        <f t="array" ref="BT34">IF($W34&lt;=$O$16,_xlfn.IFS(W34&lt;$F$16,$P$92,W34=$F$16,$P$93,W34&gt;$F$16,$P$94),0)</f>
        <v/>
      </c>
      <c r="BU34" s="352">
        <f>SUM(BO34:BP34,BR34:BT34)</f>
        <v/>
      </c>
      <c r="BV34" s="352">
        <f>BN34-BU34</f>
        <v/>
      </c>
      <c r="BW34" s="342" t="n"/>
      <c r="BX34" s="338">
        <f>IFERROR(-PPMT($P$67,$W34-$F$16,$F$17,SUM(P$31,P$51)),0)</f>
        <v/>
      </c>
      <c r="BY34" s="356">
        <f>IF(BV34-BX34&gt;=0,0,1)</f>
        <v/>
      </c>
      <c r="CA34" s="0" t="n"/>
    </row>
    <row r="35" ht="15.75" customHeight="1" s="302">
      <c r="B35" s="56" t="inlineStr">
        <is>
          <t>2.2割賦金利（％）</t>
        </is>
      </c>
      <c r="C35" s="2" t="inlineStr">
        <is>
          <t>基準金利</t>
        </is>
      </c>
      <c r="D35" s="0" t="inlineStr">
        <is>
          <t>％</t>
        </is>
      </c>
      <c r="F35" s="15" t="n">
        <v>0.0145</v>
      </c>
      <c r="J35" s="102" t="inlineStr">
        <is>
          <t>2.2 サービス購入費（完工後支払）割賦金利（％）</t>
        </is>
      </c>
      <c r="P35" s="0" t="inlineStr">
        <is>
          <t>PFI-LCC</t>
        </is>
      </c>
      <c r="V35" s="58">
        <f>IF(W35=1,DATE(YEAR($F$18)+(MONTH($F$18)&gt;=4),4,0),EOMONTH(V34,12))</f>
        <v/>
      </c>
      <c r="W35" s="7" t="n">
        <v>19</v>
      </c>
      <c r="X35" s="282">
        <f>IF(W35&gt;$O$16,"-",IF($W35&lt;=$F$16,"整備期間","維持管理・運営期間"))</f>
        <v/>
      </c>
      <c r="Y35" s="344">
        <f>IF($W35=$F$16,$O$61,0)</f>
        <v/>
      </c>
      <c r="Z35" s="345">
        <f>IF($W35=$F$16,$O$63,0)</f>
        <v/>
      </c>
      <c r="AA35" s="345">
        <f>IF($W35=$F$16,$O$62,0)</f>
        <v/>
      </c>
      <c r="AB35" s="345">
        <f>IF(X35="維持管理・運営期間",$F$56,0)</f>
        <v/>
      </c>
      <c r="AC35" s="346">
        <f>SUM(Y35:Z35,AB35)</f>
        <v/>
      </c>
      <c r="AD35" s="344">
        <f>IF($W35=$F$16,$O$30,0)</f>
        <v/>
      </c>
      <c r="AE35" s="345">
        <f>IF($X35="維持管理・運営期間",$O$41,0)</f>
        <v/>
      </c>
      <c r="AF35" s="345">
        <f>IF(AND($W35&gt;0,$W35&lt;=$O$16),$E$45,0)</f>
        <v/>
      </c>
      <c r="AG35" s="396">
        <f>IF(AND(SUM($AA$16:AA34)&gt;0,SUM($AG$16:AG34)&lt;$O$62,$W35&gt;=$O$65),$O$64,0)</f>
        <v/>
      </c>
      <c r="AH35" s="353">
        <f>IF(SUM($AA$17:$AA34)&gt;0,($O$62-SUM($AG$17:$AG34))*$E$65,0)</f>
        <v/>
      </c>
      <c r="AI35" s="346">
        <f>SUM(AD35:AF35)</f>
        <v/>
      </c>
      <c r="AJ35" s="351">
        <f>AC35-AI35</f>
        <v/>
      </c>
      <c r="AK35" s="338">
        <f>(SUM($P$31,$P$51)-SUM($AU$17:AU34))*$O$109</f>
        <v/>
      </c>
      <c r="AL35" s="348" t="n"/>
      <c r="AM35" s="352">
        <f>AJ35*$BF35</f>
        <v/>
      </c>
      <c r="AN35" s="349" t="n"/>
      <c r="AO35" s="350">
        <f>IF($W35=$F$16,$P$61,0)</f>
        <v/>
      </c>
      <c r="AP35" s="351">
        <f>IF($W35=$F$16,$P$63,0)</f>
        <v/>
      </c>
      <c r="AQ35" s="351">
        <f>IF($W35=$F$16,$P$62,0)</f>
        <v/>
      </c>
      <c r="AR35" s="345">
        <f>IF($W35&lt;$O$16,IF(W35=$F$16,$U$92,$U$93),0)</f>
        <v/>
      </c>
      <c r="AS35" s="346">
        <f>SUM(AO35:AP35,AR35)</f>
        <v/>
      </c>
      <c r="AT35" s="345">
        <f>IF(W35=$F$16,$P$30,0)</f>
        <v/>
      </c>
      <c r="AU35" s="345">
        <f>IFERROR(-PPMT($P$36,W35-$F$16,$F$17,SUM(P$31,P$51)),0)</f>
        <v/>
      </c>
      <c r="AV35" s="345">
        <f>IFERROR(-IPMT($P$36,W35-$F$16,$F$17,SUM($P$31,$P$51)),0)</f>
        <v/>
      </c>
      <c r="AW35" s="345">
        <f>IF(AND(W35&gt;$F$16,W35&lt;=SUM($F$16:$F$17)),$P$43,0)</f>
        <v/>
      </c>
      <c r="AX35" s="424">
        <f>IF($W35=1,$F$44,0)+IF(AND($W35&gt;0,$W35&lt;=$O$16),$F$45,0)</f>
        <v/>
      </c>
      <c r="AY35" s="425">
        <f>IF(AND(W35&gt;$F$16,W35&lt;=SUM($F$16:$F$17)),$P$54,0)</f>
        <v/>
      </c>
      <c r="AZ35" s="424">
        <f>IF(AND(SUM($AQ$16:AQ34)&gt;0,SUM($AZ$16:AZ34)&lt;$P$62,$W35&gt;=$P$65),$P$64,0)</f>
        <v/>
      </c>
      <c r="BA35" s="345">
        <f>IF(SUM($AQ$17:$AQ34)&gt;0,($P$62-SUM($AZ$17:$AZ34))*$F$65,0)</f>
        <v/>
      </c>
      <c r="BB35" s="346">
        <f>SUM(AT35:AY35)</f>
        <v/>
      </c>
      <c r="BC35" s="351">
        <f>AS35-BB35</f>
        <v/>
      </c>
      <c r="BD35" s="352">
        <f>BC35*$BF35</f>
        <v/>
      </c>
      <c r="BE35" s="393" t="n"/>
      <c r="BF35" s="46">
        <f>BF34/(1+$O$22)</f>
        <v/>
      </c>
      <c r="BH35" s="350">
        <f>AT35</f>
        <v/>
      </c>
      <c r="BI35" s="350">
        <f>AU35</f>
        <v/>
      </c>
      <c r="BJ35" s="351">
        <f>AV35</f>
        <v/>
      </c>
      <c r="BK35" s="351">
        <f>AW35</f>
        <v/>
      </c>
      <c r="BL35" s="351">
        <f>AY35</f>
        <v/>
      </c>
      <c r="BM35" s="351">
        <f>IF($W35&gt;$F$16,$F$56,0)</f>
        <v/>
      </c>
      <c r="BN35" s="352">
        <f>SUM(BH35:BM35)</f>
        <v/>
      </c>
      <c r="BO35" s="351">
        <f>IF($W35=$F$16,$P$32,0)</f>
        <v/>
      </c>
      <c r="BP35" s="351">
        <f>IF(AND(W35&gt;$F$16,W35&lt;=SUM($F$16:$F$17)),$P$41,0)</f>
        <v/>
      </c>
      <c r="BQ35" s="351">
        <f>IFERROR(-IPMT($P$67,W35-$F$16,$F$17,SUM(P$31,P$51)),0)</f>
        <v/>
      </c>
      <c r="BR35" s="351">
        <f>IF($W35&lt;=$O$16,$F$105,0)</f>
        <v/>
      </c>
      <c r="BS35" s="353">
        <f>IF($W35=1,SUM($O$103,$O$105),0)</f>
        <v/>
      </c>
      <c r="BT35" s="351">
        <f t="array" ref="BT35">IF($W35&lt;=$O$16,_xlfn.IFS(W35&lt;$F$16,$P$92,W35=$F$16,$P$93,W35&gt;$F$16,$P$94),0)</f>
        <v/>
      </c>
      <c r="BU35" s="352">
        <f>SUM(BO35:BP35,BR35:BT35)</f>
        <v/>
      </c>
      <c r="BV35" s="352">
        <f>BN35-BU35</f>
        <v/>
      </c>
      <c r="BW35" s="342" t="n"/>
      <c r="BX35" s="338">
        <f>IFERROR(-PPMT($P$67,$W35-$F$16,$F$17,SUM(P$31,P$51)),0)</f>
        <v/>
      </c>
      <c r="BY35" s="356">
        <f>IF(BV35-BX35&gt;=0,0,1)</f>
        <v/>
      </c>
      <c r="CA35" s="0" t="n"/>
    </row>
    <row r="36" ht="15.75" customHeight="1" s="302">
      <c r="C36" s="2" t="inlineStr">
        <is>
          <t>民間資金調達スプレッド</t>
        </is>
      </c>
      <c r="D36" s="0" t="inlineStr">
        <is>
          <t>％</t>
        </is>
      </c>
      <c r="F36" s="361">
        <f>F70</f>
        <v/>
      </c>
      <c r="J36" s="4" t="n"/>
      <c r="K36" s="56" t="inlineStr">
        <is>
          <t>割賦金利</t>
        </is>
      </c>
      <c r="N36" s="19" t="inlineStr">
        <is>
          <t>％</t>
        </is>
      </c>
      <c r="O36" s="362" t="n"/>
      <c r="P36" s="36">
        <f>SUM(F35:F37)</f>
        <v/>
      </c>
      <c r="V36" s="58">
        <f>IF(W36=1,DATE(YEAR($F$18)+(MONTH($F$18)&gt;=4),4,0),EOMONTH(V35,12))</f>
        <v/>
      </c>
      <c r="W36" s="7" t="n">
        <v>20</v>
      </c>
      <c r="X36" s="282">
        <f>IF(W36&gt;$O$16,"-",IF($W36&lt;=$F$16,"整備期間","維持管理・運営期間"))</f>
        <v/>
      </c>
      <c r="Y36" s="344">
        <f>IF($W36=$F$16,$O$61,0)</f>
        <v/>
      </c>
      <c r="Z36" s="345">
        <f>IF($W36=$F$16,$O$63,0)</f>
        <v/>
      </c>
      <c r="AA36" s="345">
        <f>IF($W36=$F$16,$O$62,0)</f>
        <v/>
      </c>
      <c r="AB36" s="345">
        <f>IF(X36="維持管理・運営期間",$F$56,0)</f>
        <v/>
      </c>
      <c r="AC36" s="346">
        <f>SUM(Y36:Z36,AB36)</f>
        <v/>
      </c>
      <c r="AD36" s="344">
        <f>IF($W36=$F$16,$O$30,0)</f>
        <v/>
      </c>
      <c r="AE36" s="345">
        <f>IF($X36="維持管理・運営期間",$O$41,0)</f>
        <v/>
      </c>
      <c r="AF36" s="345">
        <f>IF(AND($W36&gt;0,$W36&lt;=$O$16),$E$45,0)</f>
        <v/>
      </c>
      <c r="AG36" s="396">
        <f>IF(AND(SUM($AA$16:AA35)&gt;0,SUM($AG$16:AG35)&lt;$O$62,$W36&gt;=$O$65),$O$64,0)</f>
        <v/>
      </c>
      <c r="AH36" s="353">
        <f>IF(SUM($AA$17:$AA35)&gt;0,($O$62-SUM($AG$17:$AG35))*$E$65,0)</f>
        <v/>
      </c>
      <c r="AI36" s="346">
        <f>SUM(AD36:AF36)</f>
        <v/>
      </c>
      <c r="AJ36" s="351">
        <f>AC36-AI36</f>
        <v/>
      </c>
      <c r="AK36" s="338">
        <f>(SUM($P$31,$P$51)-SUM($AU$17:AU35))*$O$109</f>
        <v/>
      </c>
      <c r="AL36" s="348" t="n"/>
      <c r="AM36" s="352">
        <f>AJ36*$BF36</f>
        <v/>
      </c>
      <c r="AN36" s="349" t="n"/>
      <c r="AO36" s="350">
        <f>IF($W36=$F$16,$P$61,0)</f>
        <v/>
      </c>
      <c r="AP36" s="351">
        <f>IF($W36=$F$16,$P$63,0)</f>
        <v/>
      </c>
      <c r="AQ36" s="351">
        <f>IF($W36=$F$16,$P$62,0)</f>
        <v/>
      </c>
      <c r="AR36" s="345">
        <f>IF($W36&lt;$O$16,IF(W36=$F$16,$U$92,$U$93),0)</f>
        <v/>
      </c>
      <c r="AS36" s="346">
        <f>SUM(AO36:AP36,AR36)</f>
        <v/>
      </c>
      <c r="AT36" s="345">
        <f>IF(W36=$F$16,$P$30,0)</f>
        <v/>
      </c>
      <c r="AU36" s="345">
        <f>IFERROR(-PPMT($P$36,W36-$F$16,$F$17,SUM(P$31,P$51)),0)</f>
        <v/>
      </c>
      <c r="AV36" s="345">
        <f>IFERROR(-IPMT($P$36,W36-$F$16,$F$17,SUM($P$31,$P$51)),0)</f>
        <v/>
      </c>
      <c r="AW36" s="345">
        <f>IF(AND(W36&gt;$F$16,W36&lt;=SUM($F$16:$F$17)),$P$43,0)</f>
        <v/>
      </c>
      <c r="AX36" s="424">
        <f>IF($W36=1,$F$44,0)+IF(AND($W36&gt;0,$W36&lt;=$O$16),$F$45,0)</f>
        <v/>
      </c>
      <c r="AY36" s="425">
        <f>IF(AND(W36&gt;$F$16,W36&lt;=SUM($F$16:$F$17)),$P$54,0)</f>
        <v/>
      </c>
      <c r="AZ36" s="424">
        <f>IF(AND(SUM($AQ$16:AQ35)&gt;0,SUM($AZ$16:AZ35)&lt;$P$62,$W36&gt;=$P$65),$P$64,0)</f>
        <v/>
      </c>
      <c r="BA36" s="345">
        <f>IF(SUM($AQ$17:$AQ35)&gt;0,($P$62-SUM($AZ$17:$AZ35))*$F$65,0)</f>
        <v/>
      </c>
      <c r="BB36" s="346">
        <f>SUM(AT36:AY36)</f>
        <v/>
      </c>
      <c r="BC36" s="351">
        <f>AS36-BB36</f>
        <v/>
      </c>
      <c r="BD36" s="352">
        <f>BC36*$BF36</f>
        <v/>
      </c>
      <c r="BE36" s="393" t="n"/>
      <c r="BF36" s="46">
        <f>BF35/(1+$O$22)</f>
        <v/>
      </c>
      <c r="BH36" s="350">
        <f>AT36</f>
        <v/>
      </c>
      <c r="BI36" s="350">
        <f>AU36</f>
        <v/>
      </c>
      <c r="BJ36" s="351">
        <f>AV36</f>
        <v/>
      </c>
      <c r="BK36" s="351">
        <f>AW36</f>
        <v/>
      </c>
      <c r="BL36" s="351">
        <f>AY36</f>
        <v/>
      </c>
      <c r="BM36" s="351">
        <f>IF($W36&gt;$F$16,$F$56,0)</f>
        <v/>
      </c>
      <c r="BN36" s="352">
        <f>SUM(BH36:BM36)</f>
        <v/>
      </c>
      <c r="BO36" s="351">
        <f>IF($W36=$F$16,$P$32,0)</f>
        <v/>
      </c>
      <c r="BP36" s="351">
        <f>IF(AND(W36&gt;$F$16,W36&lt;=SUM($F$16:$F$17)),$P$41,0)</f>
        <v/>
      </c>
      <c r="BQ36" s="351">
        <f>IFERROR(-IPMT($P$67,W36-$F$16,$F$17,SUM(P$31,P$51)),0)</f>
        <v/>
      </c>
      <c r="BR36" s="351">
        <f>IF($W36&lt;=$O$16,$F$105,0)</f>
        <v/>
      </c>
      <c r="BS36" s="353">
        <f>IF($W36=1,SUM($O$103,$O$105),0)</f>
        <v/>
      </c>
      <c r="BT36" s="351">
        <f t="array" ref="BT36">IF($W36&lt;=$O$16,_xlfn.IFS(W36&lt;$F$16,$P$92,W36=$F$16,$P$93,W36&gt;$F$16,$P$94),0)</f>
        <v/>
      </c>
      <c r="BU36" s="352">
        <f>SUM(BO36:BP36,BR36:BT36)</f>
        <v/>
      </c>
      <c r="BV36" s="352">
        <f>BN36-BU36</f>
        <v/>
      </c>
      <c r="BW36" s="342" t="n"/>
      <c r="BX36" s="338">
        <f>IFERROR(-PPMT($P$67,$W36-$F$16,$F$17,SUM(P$31,P$51)),0)</f>
        <v/>
      </c>
      <c r="BY36" s="356">
        <f>IF(BV36-BX36&gt;=0,0,1)</f>
        <v/>
      </c>
      <c r="CA36" s="0" t="n"/>
    </row>
    <row r="37" ht="15.75" customHeight="1" s="302">
      <c r="C37" s="2" t="inlineStr">
        <is>
          <t>スプレッド</t>
        </is>
      </c>
      <c r="D37" s="0" t="inlineStr">
        <is>
          <t>％</t>
        </is>
      </c>
      <c r="F37" s="15" t="n">
        <v>0.01</v>
      </c>
      <c r="V37" s="58">
        <f>IF(W37=1,DATE(YEAR($F$18)+(MONTH($F$18)&gt;=4),4,0),EOMONTH(V36,12))</f>
        <v/>
      </c>
      <c r="W37" s="7" t="n">
        <v>21</v>
      </c>
      <c r="X37" s="282">
        <f>IF(W37&gt;$O$16,"-",IF($W37&lt;=$F$16,"整備期間","維持管理・運営期間"))</f>
        <v/>
      </c>
      <c r="Y37" s="344">
        <f>IF($W37=$F$16,$O$61,0)</f>
        <v/>
      </c>
      <c r="Z37" s="345">
        <f>IF($W37=$F$16,$O$63,0)</f>
        <v/>
      </c>
      <c r="AA37" s="345">
        <f>IF($W37=$F$16,$O$62,0)</f>
        <v/>
      </c>
      <c r="AB37" s="345">
        <f>IF(X37="維持管理・運営期間",$F$56,0)</f>
        <v/>
      </c>
      <c r="AC37" s="346">
        <f>SUM(Y37:Z37,AB37)</f>
        <v/>
      </c>
      <c r="AD37" s="344">
        <f>IF($W37=$F$16,$O$30,0)</f>
        <v/>
      </c>
      <c r="AE37" s="345">
        <f>IF($X37="維持管理・運営期間",$O$41,0)</f>
        <v/>
      </c>
      <c r="AF37" s="345">
        <f>IF(AND($W37&gt;0,$W37&lt;=$O$16),$E$45,0)</f>
        <v/>
      </c>
      <c r="AG37" s="396">
        <f>IF(AND(SUM($AA$16:AA36)&gt;0,SUM($AG$16:AG36)&lt;$O$62,$W37&gt;=$O$65),$O$64,0)</f>
        <v/>
      </c>
      <c r="AH37" s="353">
        <f>IF(SUM($AA$17:$AA36)&gt;0,($O$62-SUM($AG$17:$AG36))*$E$65,0)</f>
        <v/>
      </c>
      <c r="AI37" s="346">
        <f>SUM(AD37:AF37)</f>
        <v/>
      </c>
      <c r="AJ37" s="351">
        <f>AC37-AI37</f>
        <v/>
      </c>
      <c r="AK37" s="338">
        <f>(SUM($P$31,$P$51)-SUM($AU$17:AU36))*$O$109</f>
        <v/>
      </c>
      <c r="AL37" s="348" t="n"/>
      <c r="AM37" s="352">
        <f>AJ37*$BF37</f>
        <v/>
      </c>
      <c r="AN37" s="349" t="n"/>
      <c r="AO37" s="350">
        <f>IF($W37=$F$16,$P$61,0)</f>
        <v/>
      </c>
      <c r="AP37" s="351">
        <f>IF($W37=$F$16,$P$63,0)</f>
        <v/>
      </c>
      <c r="AQ37" s="351">
        <f>IF($W37=$F$16,$P$62,0)</f>
        <v/>
      </c>
      <c r="AR37" s="345">
        <f>IF($W37&lt;$O$16,IF(W37=$F$16,$U$92,$U$93),0)</f>
        <v/>
      </c>
      <c r="AS37" s="346">
        <f>SUM(AO37:AP37,AR37)</f>
        <v/>
      </c>
      <c r="AT37" s="345">
        <f>IF(W37=$F$16,$P$30,0)</f>
        <v/>
      </c>
      <c r="AU37" s="345">
        <f>IFERROR(-PPMT($P$36,W37-$F$16,$F$17,SUM(P$31,P$51)),0)</f>
        <v/>
      </c>
      <c r="AV37" s="345">
        <f>IFERROR(-IPMT($P$36,W37-$F$16,$F$17,SUM($P$31,$P$51)),0)</f>
        <v/>
      </c>
      <c r="AW37" s="345">
        <f>IF(AND(W37&gt;$F$16,W37&lt;=SUM($F$16:$F$17)),$P$43,0)</f>
        <v/>
      </c>
      <c r="AX37" s="424">
        <f>IF($W37=1,$F$44,0)+IF(AND($W37&gt;0,$W37&lt;=$O$16),$F$45,0)</f>
        <v/>
      </c>
      <c r="AY37" s="425">
        <f>IF(AND(W37&gt;$F$16,W37&lt;=SUM($F$16:$F$17)),$P$54,0)</f>
        <v/>
      </c>
      <c r="AZ37" s="424">
        <f>IF(AND(SUM($AQ$16:AQ36)&gt;0,SUM($AZ$16:AZ36)&lt;$P$62,$W37&gt;=$P$65),$P$64,0)</f>
        <v/>
      </c>
      <c r="BA37" s="345">
        <f>IF(SUM($AQ$17:$AQ36)&gt;0,($P$62-SUM($AZ$17:$AZ36))*$F$65,0)</f>
        <v/>
      </c>
      <c r="BB37" s="346">
        <f>SUM(AT37:AY37)</f>
        <v/>
      </c>
      <c r="BC37" s="351">
        <f>AS37-BB37</f>
        <v/>
      </c>
      <c r="BD37" s="352">
        <f>BC37*$BF37</f>
        <v/>
      </c>
      <c r="BE37" s="393" t="n"/>
      <c r="BF37" s="46">
        <f>BF36/(1+$O$22)</f>
        <v/>
      </c>
      <c r="BH37" s="350">
        <f>AT37</f>
        <v/>
      </c>
      <c r="BI37" s="350">
        <f>AU37</f>
        <v/>
      </c>
      <c r="BJ37" s="351">
        <f>AV37</f>
        <v/>
      </c>
      <c r="BK37" s="351">
        <f>AW37</f>
        <v/>
      </c>
      <c r="BL37" s="351">
        <f>AY37</f>
        <v/>
      </c>
      <c r="BM37" s="351">
        <f>IF($W37&gt;$F$16,$F$56,0)</f>
        <v/>
      </c>
      <c r="BN37" s="352">
        <f>SUM(BH37:BM37)</f>
        <v/>
      </c>
      <c r="BO37" s="351">
        <f>IF($W37=$F$16,$P$32,0)</f>
        <v/>
      </c>
      <c r="BP37" s="351">
        <f>IF(AND(W37&gt;$F$16,W37&lt;=SUM($F$16:$F$17)),$P$41,0)</f>
        <v/>
      </c>
      <c r="BQ37" s="351">
        <f>IFERROR(-IPMT($P$67,W37-$F$16,$F$17,SUM(P$31,P$51)),0)</f>
        <v/>
      </c>
      <c r="BR37" s="351">
        <f>IF($W37&lt;=$O$16,$F$105,0)</f>
        <v/>
      </c>
      <c r="BS37" s="353">
        <f>IF($W37=1,SUM($O$103,$O$105),0)</f>
        <v/>
      </c>
      <c r="BT37" s="351">
        <f t="array" ref="BT37">IF($W37&lt;=$O$16,_xlfn.IFS(W37&lt;$F$16,$P$92,W37=$F$16,$P$93,W37&gt;$F$16,$P$94),0)</f>
        <v/>
      </c>
      <c r="BU37" s="352">
        <f>SUM(BO37:BP37,BR37:BT37)</f>
        <v/>
      </c>
      <c r="BV37" s="352">
        <f>BN37-BU37</f>
        <v/>
      </c>
      <c r="BW37" s="342" t="n"/>
      <c r="BX37" s="338">
        <f>IFERROR(-PPMT($P$67,$W37-$F$16,$F$17,SUM(P$31,P$51)),0)</f>
        <v/>
      </c>
      <c r="BY37" s="356">
        <f>IF(BV37-BX37&gt;=0,0,1)</f>
        <v/>
      </c>
      <c r="CA37" s="0" t="n"/>
    </row>
    <row r="38" ht="15.75" customHeight="1" s="302">
      <c r="C38" s="99" t="n"/>
      <c r="D38" s="101" t="inlineStr">
        <is>
          <t>Checks:割賦＞SPC収支</t>
        </is>
      </c>
      <c r="E38" s="100" t="n"/>
      <c r="F38" s="363">
        <f>BY15</f>
        <v/>
      </c>
      <c r="V38" s="58">
        <f>IF(W38=1,DATE(YEAR($F$18)+(MONTH($F$18)&gt;=4),4,0),EOMONTH(V37,12))</f>
        <v/>
      </c>
      <c r="W38" s="7" t="n">
        <v>22</v>
      </c>
      <c r="X38" s="282">
        <f>IF(W38&gt;$O$16,"-",IF($W38&lt;=$F$16,"整備期間","維持管理・運営期間"))</f>
        <v/>
      </c>
      <c r="Y38" s="344">
        <f>IF($W38=$F$16,$O$61,0)</f>
        <v/>
      </c>
      <c r="Z38" s="345">
        <f>IF($W38=$F$16,$O$63,0)</f>
        <v/>
      </c>
      <c r="AA38" s="345">
        <f>IF($W38=$F$16,$O$62,0)</f>
        <v/>
      </c>
      <c r="AB38" s="345">
        <f>IF(X38="維持管理・運営期間",$F$56,0)</f>
        <v/>
      </c>
      <c r="AC38" s="346">
        <f>SUM(Y38:Z38,AB38)</f>
        <v/>
      </c>
      <c r="AD38" s="344">
        <f>IF($W38=$F$16,$O$30,0)</f>
        <v/>
      </c>
      <c r="AE38" s="345">
        <f>IF($X38="維持管理・運営期間",$O$41,0)</f>
        <v/>
      </c>
      <c r="AF38" s="345">
        <f>IF(AND($W38&gt;0,$W38&lt;=$O$16),$E$45,0)</f>
        <v/>
      </c>
      <c r="AG38" s="396">
        <f>IF(AND(SUM($AA$16:AA37)&gt;0,SUM($AG$16:AG37)&lt;$O$62,$W38&gt;=$O$65),$O$64,0)</f>
        <v/>
      </c>
      <c r="AH38" s="353">
        <f>IF(SUM($AA$17:$AA37)&gt;0,($O$62-SUM($AG$17:$AG37))*$E$65,0)</f>
        <v/>
      </c>
      <c r="AI38" s="346">
        <f>SUM(AD38:AF38)</f>
        <v/>
      </c>
      <c r="AJ38" s="351">
        <f>AC38-AI38</f>
        <v/>
      </c>
      <c r="AK38" s="338">
        <f>(SUM($P$31,$P$51)-SUM($AU$17:AU37))*$O$109</f>
        <v/>
      </c>
      <c r="AL38" s="348" t="n"/>
      <c r="AM38" s="352">
        <f>AJ38*$BF38</f>
        <v/>
      </c>
      <c r="AN38" s="349" t="n"/>
      <c r="AO38" s="350">
        <f>IF($W38=$F$16,$P$61,0)</f>
        <v/>
      </c>
      <c r="AP38" s="351">
        <f>IF($W38=$F$16,$P$63,0)</f>
        <v/>
      </c>
      <c r="AQ38" s="351">
        <f>IF($W38=$F$16,$P$62,0)</f>
        <v/>
      </c>
      <c r="AR38" s="345">
        <f>IF($W38&lt;$O$16,IF(W38=$F$16,$U$92,$U$93),0)</f>
        <v/>
      </c>
      <c r="AS38" s="346">
        <f>SUM(AO38:AP38,AR38)</f>
        <v/>
      </c>
      <c r="AT38" s="345">
        <f>IF(W38=$F$16,$P$30,0)</f>
        <v/>
      </c>
      <c r="AU38" s="345">
        <f>IFERROR(-PPMT($P$36,W38-$F$16,$F$17,SUM(P$31,P$51)),0)</f>
        <v/>
      </c>
      <c r="AV38" s="345">
        <f>IFERROR(-IPMT($P$36,W38-$F$16,$F$17,SUM($P$31,$P$51)),0)</f>
        <v/>
      </c>
      <c r="AW38" s="345">
        <f>IF(AND(W38&gt;$F$16,W38&lt;=SUM($F$16:$F$17)),$P$43,0)</f>
        <v/>
      </c>
      <c r="AX38" s="424">
        <f>IF($W38=1,$F$44,0)+IF(AND($W38&gt;0,$W38&lt;=$O$16),$F$45,0)</f>
        <v/>
      </c>
      <c r="AY38" s="425">
        <f>IF(AND(W38&gt;$F$16,W38&lt;=SUM($F$16:$F$17)),$P$54,0)</f>
        <v/>
      </c>
      <c r="AZ38" s="424">
        <f>IF(AND(SUM($AQ$16:AQ37)&gt;0,SUM($AZ$16:AZ37)&lt;$P$62,$W38&gt;=$P$65),$P$64,0)</f>
        <v/>
      </c>
      <c r="BA38" s="345">
        <f>IF(SUM($AQ$17:$AQ37)&gt;0,($P$62-SUM($AZ$17:$AZ37))*$F$65,0)</f>
        <v/>
      </c>
      <c r="BB38" s="346">
        <f>SUM(AT38:AY38)</f>
        <v/>
      </c>
      <c r="BC38" s="351">
        <f>AS38-BB38</f>
        <v/>
      </c>
      <c r="BD38" s="352">
        <f>BC38*$BF38</f>
        <v/>
      </c>
      <c r="BE38" s="393" t="n"/>
      <c r="BF38" s="46">
        <f>BF37/(1+$O$22)</f>
        <v/>
      </c>
      <c r="BH38" s="350">
        <f>AT38</f>
        <v/>
      </c>
      <c r="BI38" s="350">
        <f>AU38</f>
        <v/>
      </c>
      <c r="BJ38" s="351">
        <f>AV38</f>
        <v/>
      </c>
      <c r="BK38" s="351">
        <f>AW38</f>
        <v/>
      </c>
      <c r="BL38" s="351">
        <f>AY38</f>
        <v/>
      </c>
      <c r="BM38" s="351">
        <f>IF($W38&gt;$F$16,$F$56,0)</f>
        <v/>
      </c>
      <c r="BN38" s="352">
        <f>SUM(BH38:BM38)</f>
        <v/>
      </c>
      <c r="BO38" s="351">
        <f>IF($W38=$F$16,$P$32,0)</f>
        <v/>
      </c>
      <c r="BP38" s="351">
        <f>IF(AND(W38&gt;$F$16,W38&lt;=SUM($F$16:$F$17)),$P$41,0)</f>
        <v/>
      </c>
      <c r="BQ38" s="351">
        <f>IFERROR(-IPMT($P$67,W38-$F$16,$F$17,SUM(P$31,P$51)),0)</f>
        <v/>
      </c>
      <c r="BR38" s="351">
        <f>IF($W38&lt;=$O$16,$F$105,0)</f>
        <v/>
      </c>
      <c r="BS38" s="353">
        <f>IF($W38=1,SUM($O$103,$O$105),0)</f>
        <v/>
      </c>
      <c r="BT38" s="351">
        <f t="array" ref="BT38">IF($W38&lt;=$O$16,_xlfn.IFS(W38&lt;$F$16,$P$92,W38=$F$16,$P$93,W38&gt;$F$16,$P$94),0)</f>
        <v/>
      </c>
      <c r="BU38" s="352">
        <f>SUM(BO38:BP38,BR38:BT38)</f>
        <v/>
      </c>
      <c r="BV38" s="352">
        <f>BN38-BU38</f>
        <v/>
      </c>
      <c r="BW38" s="342" t="n"/>
      <c r="BX38" s="338">
        <f>IFERROR(-PPMT($P$67,$W38-$F$16,$F$17,SUM(P$31,P$51)),0)</f>
        <v/>
      </c>
      <c r="BY38" s="356">
        <f>IF(BV38-BX38&gt;=0,0,1)</f>
        <v/>
      </c>
      <c r="CA38" s="0" t="n"/>
    </row>
    <row r="39" ht="15.75" customHeight="1" s="302">
      <c r="V39" s="58">
        <f>IF(W39=1,DATE(YEAR($F$18)+(MONTH($F$18)&gt;=4),4,0),EOMONTH(V38,12))</f>
        <v/>
      </c>
      <c r="W39" s="7" t="n">
        <v>23</v>
      </c>
      <c r="X39" s="282">
        <f>IF(W39&gt;$O$16,"-",IF($W39&lt;=$F$16,"整備期間","維持管理・運営期間"))</f>
        <v/>
      </c>
      <c r="Y39" s="344">
        <f>IF($W39=$F$16,$O$61,0)</f>
        <v/>
      </c>
      <c r="Z39" s="345">
        <f>IF($W39=$F$16,$O$63,0)</f>
        <v/>
      </c>
      <c r="AA39" s="345">
        <f>IF($W39=$F$16,$O$62,0)</f>
        <v/>
      </c>
      <c r="AB39" s="345">
        <f>IF(X39="維持管理・運営期間",$F$56,0)</f>
        <v/>
      </c>
      <c r="AC39" s="346">
        <f>SUM(Y39:Z39,AB39)</f>
        <v/>
      </c>
      <c r="AD39" s="344">
        <f>IF($W39=$F$16,$O$30,0)</f>
        <v/>
      </c>
      <c r="AE39" s="345">
        <f>IF($X39="維持管理・運営期間",$O$41,0)</f>
        <v/>
      </c>
      <c r="AF39" s="345">
        <f>IF(AND($W39&gt;0,$W39&lt;=$O$16),$E$45,0)</f>
        <v/>
      </c>
      <c r="AG39" s="396">
        <f>IF(AND(SUM($AA$16:AA38)&gt;0,SUM($AG$16:AG38)&lt;$O$62,$W39&gt;=$O$65),$O$64,0)</f>
        <v/>
      </c>
      <c r="AH39" s="353">
        <f>IF(SUM($AA$17:$AA38)&gt;0,($O$62-SUM($AG$17:$AG38))*$E$65,0)</f>
        <v/>
      </c>
      <c r="AI39" s="346">
        <f>SUM(AD39:AF39)</f>
        <v/>
      </c>
      <c r="AJ39" s="351">
        <f>AC39-AI39</f>
        <v/>
      </c>
      <c r="AK39" s="338">
        <f>(SUM($P$31,$P$51)-SUM($AU$17:AU38))*$O$109</f>
        <v/>
      </c>
      <c r="AL39" s="348" t="n"/>
      <c r="AM39" s="352">
        <f>AJ39*$BF39</f>
        <v/>
      </c>
      <c r="AN39" s="349" t="n"/>
      <c r="AO39" s="350">
        <f>IF($W39=$F$16,$P$61,0)</f>
        <v/>
      </c>
      <c r="AP39" s="351">
        <f>IF($W39=$F$16,$P$63,0)</f>
        <v/>
      </c>
      <c r="AQ39" s="351">
        <f>IF($W39=$F$16,$P$62,0)</f>
        <v/>
      </c>
      <c r="AR39" s="345">
        <f>IF($W39&lt;$O$16,IF(W39=$F$16,$U$92,$U$93),0)</f>
        <v/>
      </c>
      <c r="AS39" s="346">
        <f>SUM(AO39:AP39,AR39)</f>
        <v/>
      </c>
      <c r="AT39" s="345">
        <f>IF(W39=$F$16,$P$30,0)</f>
        <v/>
      </c>
      <c r="AU39" s="345">
        <f>IFERROR(-PPMT($P$36,W39-$F$16,$F$17,SUM(P$31,P$51)),0)</f>
        <v/>
      </c>
      <c r="AV39" s="345">
        <f>IFERROR(-IPMT($P$36,W39-$F$16,$F$17,SUM($P$31,$P$51)),0)</f>
        <v/>
      </c>
      <c r="AW39" s="345">
        <f>IF(AND(W39&gt;$F$16,W39&lt;=SUM($F$16:$F$17)),$P$43,0)</f>
        <v/>
      </c>
      <c r="AX39" s="424">
        <f>IF($W39=1,$F$44,0)+IF(AND($W39&gt;0,$W39&lt;=$O$16),$F$45,0)</f>
        <v/>
      </c>
      <c r="AY39" s="425">
        <f>IF(AND(W39&gt;$F$16,W39&lt;=SUM($F$16:$F$17)),$P$54,0)</f>
        <v/>
      </c>
      <c r="AZ39" s="424">
        <f>IF(AND(SUM($AQ$16:AQ38)&gt;0,SUM($AZ$16:AZ38)&lt;$P$62,$W39&gt;=$P$65),$P$64,0)</f>
        <v/>
      </c>
      <c r="BA39" s="345">
        <f>IF(SUM($AQ$17:$AQ38)&gt;0,($P$62-SUM($AZ$17:$AZ38))*$F$65,0)</f>
        <v/>
      </c>
      <c r="BB39" s="346">
        <f>SUM(AT39:AY39)</f>
        <v/>
      </c>
      <c r="BC39" s="351">
        <f>AS39-BB39</f>
        <v/>
      </c>
      <c r="BD39" s="352">
        <f>BC39*$BF39</f>
        <v/>
      </c>
      <c r="BE39" s="393" t="n"/>
      <c r="BF39" s="46">
        <f>BF38/(1+$O$22)</f>
        <v/>
      </c>
      <c r="BH39" s="350">
        <f>AT39</f>
        <v/>
      </c>
      <c r="BI39" s="350">
        <f>AU39</f>
        <v/>
      </c>
      <c r="BJ39" s="351">
        <f>AV39</f>
        <v/>
      </c>
      <c r="BK39" s="351">
        <f>AW39</f>
        <v/>
      </c>
      <c r="BL39" s="351">
        <f>AY39</f>
        <v/>
      </c>
      <c r="BM39" s="351">
        <f>IF($W39&gt;$F$16,$F$56,0)</f>
        <v/>
      </c>
      <c r="BN39" s="352">
        <f>SUM(BH39:BM39)</f>
        <v/>
      </c>
      <c r="BO39" s="351">
        <f>IF($W39=$F$16,$P$32,0)</f>
        <v/>
      </c>
      <c r="BP39" s="351">
        <f>IF(AND(W39&gt;$F$16,W39&lt;=SUM($F$16:$F$17)),$P$41,0)</f>
        <v/>
      </c>
      <c r="BQ39" s="351">
        <f>IFERROR(-IPMT($P$67,W39-$F$16,$F$17,SUM(P$31,P$51)),0)</f>
        <v/>
      </c>
      <c r="BR39" s="351">
        <f>IF($W39&lt;=$O$16,$F$105,0)</f>
        <v/>
      </c>
      <c r="BS39" s="353">
        <f>IF($W39=1,SUM($O$103,$O$105),0)</f>
        <v/>
      </c>
      <c r="BT39" s="351">
        <f t="array" ref="BT39">IF($W39&lt;=$O$16,_xlfn.IFS(W39&lt;$F$16,$P$92,W39=$F$16,$P$93,W39&gt;$F$16,$P$94),0)</f>
        <v/>
      </c>
      <c r="BU39" s="352">
        <f>SUM(BO39:BP39,BR39:BT39)</f>
        <v/>
      </c>
      <c r="BV39" s="352">
        <f>BN39-BU39</f>
        <v/>
      </c>
      <c r="BW39" s="342" t="n"/>
      <c r="BX39" s="338">
        <f>IFERROR(-PPMT($P$67,$W39-$F$16,$F$17,SUM(P$31,P$51)),0)</f>
        <v/>
      </c>
      <c r="BY39" s="356">
        <f>IF(BV39-BX39&gt;=0,0,1)</f>
        <v/>
      </c>
      <c r="CA39" s="0" t="n"/>
    </row>
    <row r="40" ht="15.75" customHeight="1" s="302">
      <c r="B40" s="0" t="inlineStr">
        <is>
          <t>2.3維持管理運営費用（年額）</t>
        </is>
      </c>
      <c r="D40" s="0" t="inlineStr">
        <is>
          <t>百万円</t>
        </is>
      </c>
      <c r="F40" s="394">
        <f>SUM(F41:F42)</f>
        <v/>
      </c>
      <c r="J40" s="4" t="inlineStr">
        <is>
          <t>2.3 維持管理運営費用（年額）</t>
        </is>
      </c>
      <c r="V40" s="58">
        <f>IF(W40=1,DATE(YEAR($F$18)+(MONTH($F$18)&gt;=4),4,0),EOMONTH(V39,12))</f>
        <v/>
      </c>
      <c r="W40" s="26" t="n">
        <v>24</v>
      </c>
      <c r="X40" s="282">
        <f>IF(W40&gt;$O$16,"-",IF($W40&lt;=$F$16,"整備期間","維持管理・運営期間"))</f>
        <v/>
      </c>
      <c r="Y40" s="344">
        <f>IF($W40=$F$16,$O$61,0)</f>
        <v/>
      </c>
      <c r="Z40" s="345">
        <f>IF($W40=$F$16,$O$63,0)</f>
        <v/>
      </c>
      <c r="AA40" s="345">
        <f>IF($W40=$F$16,$O$62,0)</f>
        <v/>
      </c>
      <c r="AB40" s="345">
        <f>IF(X40="維持管理・運営期間",$F$56,0)</f>
        <v/>
      </c>
      <c r="AC40" s="346">
        <f>SUM(Y40:Z40,AB40)</f>
        <v/>
      </c>
      <c r="AD40" s="344">
        <f>IF($W40=$F$16,$O$30,0)</f>
        <v/>
      </c>
      <c r="AE40" s="345">
        <f>IF($X40="維持管理・運営期間",$O$41,0)</f>
        <v/>
      </c>
      <c r="AF40" s="345">
        <f>IF(AND($W40&gt;0,$W40&lt;=$O$16),$E$45,0)</f>
        <v/>
      </c>
      <c r="AG40" s="396">
        <f>IF(AND(SUM($AA$16:AA39)&gt;0,SUM($AG$16:AG39)&lt;$O$62,$W40&gt;=$O$65),$O$64,0)</f>
        <v/>
      </c>
      <c r="AH40" s="353">
        <f>IF(SUM($AA$17:$AA39)&gt;0,($O$62-SUM($AG$17:$AG39))*$E$65,0)</f>
        <v/>
      </c>
      <c r="AI40" s="346">
        <f>SUM(AD40:AF40)</f>
        <v/>
      </c>
      <c r="AJ40" s="351">
        <f>AC40-AI40</f>
        <v/>
      </c>
      <c r="AK40" s="338">
        <f>(SUM($P$31,$P$51)-SUM($AU$17:AU39))*$O$109</f>
        <v/>
      </c>
      <c r="AL40" s="348" t="n"/>
      <c r="AM40" s="352">
        <f>AJ40*$BF40</f>
        <v/>
      </c>
      <c r="AN40" s="349" t="n"/>
      <c r="AO40" s="350">
        <f>IF($W40=$F$16,$P$61,0)</f>
        <v/>
      </c>
      <c r="AP40" s="351">
        <f>IF($W40=$F$16,$P$63,0)</f>
        <v/>
      </c>
      <c r="AQ40" s="351">
        <f>IF($W40=$F$16,$P$62,0)</f>
        <v/>
      </c>
      <c r="AR40" s="345">
        <f>IF($W40&lt;$O$16,IF(W40=$F$16,$U$92,$U$93),0)</f>
        <v/>
      </c>
      <c r="AS40" s="346">
        <f>SUM(AO40:AP40,AR40)</f>
        <v/>
      </c>
      <c r="AT40" s="345">
        <f>IF(W40=$F$16,$P$30,0)</f>
        <v/>
      </c>
      <c r="AU40" s="345">
        <f>IFERROR(-PPMT($P$36,W40-$F$16,$F$17,SUM(P$31,P$51)),0)</f>
        <v/>
      </c>
      <c r="AV40" s="345">
        <f>IFERROR(-IPMT($P$36,W40-$F$16,$F$17,SUM($P$31,$P$51)),0)</f>
        <v/>
      </c>
      <c r="AW40" s="345">
        <f>IF(AND(W40&gt;$F$16,W40&lt;=SUM($F$16:$F$17)),$P$43,0)</f>
        <v/>
      </c>
      <c r="AX40" s="424">
        <f>IF($W40=1,$F$44,0)+IF(AND($W40&gt;0,$W40&lt;=$O$16),$F$45,0)</f>
        <v/>
      </c>
      <c r="AY40" s="425">
        <f>IF(AND(W40&gt;$F$16,W40&lt;=SUM($F$16:$F$17)),$P$54,0)</f>
        <v/>
      </c>
      <c r="AZ40" s="424">
        <f>IF(AND(SUM($AQ$16:AQ39)&gt;0,SUM($AZ$16:AZ39)&lt;$P$62,$W40&gt;=$P$65),$P$64,0)</f>
        <v/>
      </c>
      <c r="BA40" s="345">
        <f>IF(SUM($AQ$17:$AQ39)&gt;0,($P$62-SUM($AZ$17:$AZ39))*$F$65,0)</f>
        <v/>
      </c>
      <c r="BB40" s="346">
        <f>SUM(AT40:AY40)</f>
        <v/>
      </c>
      <c r="BC40" s="351">
        <f>AS40-BB40</f>
        <v/>
      </c>
      <c r="BD40" s="352">
        <f>BC40*$BF40</f>
        <v/>
      </c>
      <c r="BE40" s="393" t="n"/>
      <c r="BF40" s="46">
        <f>BF39/(1+$O$22)</f>
        <v/>
      </c>
      <c r="BH40" s="350">
        <f>AT40</f>
        <v/>
      </c>
      <c r="BI40" s="350">
        <f>AU40</f>
        <v/>
      </c>
      <c r="BJ40" s="351">
        <f>AV40</f>
        <v/>
      </c>
      <c r="BK40" s="351">
        <f>AW40</f>
        <v/>
      </c>
      <c r="BL40" s="351">
        <f>AY40</f>
        <v/>
      </c>
      <c r="BM40" s="351">
        <f>IF($W40&gt;$F$16,$F$56,0)</f>
        <v/>
      </c>
      <c r="BN40" s="352">
        <f>SUM(BH40:BM40)</f>
        <v/>
      </c>
      <c r="BO40" s="351">
        <f>IF($W40=$F$16,$P$32,0)</f>
        <v/>
      </c>
      <c r="BP40" s="351">
        <f>IF(AND(W40&gt;$F$16,W40&lt;=SUM($F$16:$F$17)),$P$41,0)</f>
        <v/>
      </c>
      <c r="BQ40" s="351">
        <f>IFERROR(-IPMT($P$67,W40-$F$16,$F$17,SUM(P$31,P$51)),0)</f>
        <v/>
      </c>
      <c r="BR40" s="351">
        <f>IF($W40&lt;=$O$16,$F$105,0)</f>
        <v/>
      </c>
      <c r="BS40" s="353">
        <f>IF($W40=1,SUM($O$103,$O$105),0)</f>
        <v/>
      </c>
      <c r="BT40" s="351">
        <f t="array" ref="BT40">IF($W40&lt;=$O$16,_xlfn.IFS(W40&lt;$F$16,$P$92,W40=$F$16,$P$93,W40&gt;$F$16,$P$94),0)</f>
        <v/>
      </c>
      <c r="BU40" s="352">
        <f>SUM(BO40:BP40,BR40:BT40)</f>
        <v/>
      </c>
      <c r="BV40" s="352">
        <f>BN40-BU40</f>
        <v/>
      </c>
      <c r="BW40" s="342" t="n"/>
      <c r="BX40" s="338">
        <f>IFERROR(-PPMT($P$67,$W40-$F$16,$F$17,SUM(P$31,P$51)),0)</f>
        <v/>
      </c>
      <c r="BY40" s="356">
        <f>IF(BV40-BX40&gt;=0,0,1)</f>
        <v/>
      </c>
      <c r="CA40" s="0" t="n"/>
    </row>
    <row r="41" ht="15.75" customHeight="1" s="302">
      <c r="C41" s="2" t="inlineStr">
        <is>
          <t>うち、過去の落札価格を反映</t>
        </is>
      </c>
      <c r="D41" s="0" t="inlineStr">
        <is>
          <t>百万円</t>
        </is>
      </c>
      <c r="F41" s="359">
        <f>事業費用概算!G27</f>
        <v/>
      </c>
      <c r="K41" s="0" t="inlineStr">
        <is>
          <t>維持管理運営費用（年額）</t>
        </is>
      </c>
      <c r="N41" s="19" t="inlineStr">
        <is>
          <t>百万円</t>
        </is>
      </c>
      <c r="O41" s="364">
        <f>F40</f>
        <v/>
      </c>
      <c r="P41" s="365">
        <f>F40*(1-F52)</f>
        <v/>
      </c>
      <c r="Q41" s="0" t="inlineStr">
        <is>
          <t>PSCは競争の効果反映、LCCは削減率を反映</t>
        </is>
      </c>
      <c r="V41" s="58">
        <f>IF(W41=1,DATE(YEAR($F$18)+(MONTH($F$18)&gt;=4),4,0),EOMONTH(V40,12))</f>
        <v/>
      </c>
      <c r="W41" s="26" t="n">
        <v>25</v>
      </c>
      <c r="X41" s="282">
        <f>IF(W41&gt;$O$16,"-",IF($W41&lt;=$F$16,"整備期間","維持管理・運営期間"))</f>
        <v/>
      </c>
      <c r="Y41" s="344">
        <f>IF($W41=$F$16,$O$61,0)</f>
        <v/>
      </c>
      <c r="Z41" s="345">
        <f>IF($W41=$F$16,$O$63,0)</f>
        <v/>
      </c>
      <c r="AA41" s="345">
        <f>IF($W41=$F$16,$O$62,0)</f>
        <v/>
      </c>
      <c r="AB41" s="345">
        <f>IF(X41="維持管理・運営期間",$F$56,0)</f>
        <v/>
      </c>
      <c r="AC41" s="346">
        <f>SUM(Y41:Z41,AB41)</f>
        <v/>
      </c>
      <c r="AD41" s="344">
        <f>IF($W41=$F$16,$O$30,0)</f>
        <v/>
      </c>
      <c r="AE41" s="345">
        <f>IF($X41="維持管理・運営期間",$O$41,0)</f>
        <v/>
      </c>
      <c r="AF41" s="345">
        <f>IF(AND($W41&gt;0,$W41&lt;=$O$16),$E$45,0)</f>
        <v/>
      </c>
      <c r="AG41" s="396">
        <f>IF(AND(SUM($AA$16:AA40)&gt;0,SUM($AG$16:AG40)&lt;$O$62,$W41&gt;=$O$65),$O$64,0)</f>
        <v/>
      </c>
      <c r="AH41" s="353">
        <f>IF(SUM($AA$17:$AA40)&gt;0,($O$62-SUM($AG$17:$AG40))*$E$65,0)</f>
        <v/>
      </c>
      <c r="AI41" s="346">
        <f>SUM(AD41:AF41)</f>
        <v/>
      </c>
      <c r="AJ41" s="351">
        <f>AC41-AI41</f>
        <v/>
      </c>
      <c r="AK41" s="338">
        <f>(SUM($P$31,$P$51)-SUM($AU$17:AU40))*$O$109</f>
        <v/>
      </c>
      <c r="AL41" s="348" t="n"/>
      <c r="AM41" s="352">
        <f>AJ41*$BF41</f>
        <v/>
      </c>
      <c r="AN41" s="349" t="n"/>
      <c r="AO41" s="350">
        <f>IF($W41=$F$16,$P$61,0)</f>
        <v/>
      </c>
      <c r="AP41" s="351">
        <f>IF($W41=$F$16,$P$63,0)</f>
        <v/>
      </c>
      <c r="AQ41" s="351">
        <f>IF($W41=$F$16,$P$62,0)</f>
        <v/>
      </c>
      <c r="AR41" s="345">
        <f>IF($W41&lt;$O$16,IF(W41=$F$16,$U$92,$U$93),0)</f>
        <v/>
      </c>
      <c r="AS41" s="346">
        <f>SUM(AO41:AP41,AR41)</f>
        <v/>
      </c>
      <c r="AT41" s="345">
        <f>IF(W41=$F$16,$P$30,0)</f>
        <v/>
      </c>
      <c r="AU41" s="345">
        <f>IFERROR(-PPMT($P$36,W41-$F$16,$F$17,SUM(P$31,P$51)),0)</f>
        <v/>
      </c>
      <c r="AV41" s="345">
        <f>IFERROR(-IPMT($P$36,W41-$F$16,$F$17,SUM($P$31,$P$51)),0)</f>
        <v/>
      </c>
      <c r="AW41" s="345">
        <f>IF(AND(W41&gt;$F$16,W41&lt;=SUM($F$16:$F$17)),$P$43,0)</f>
        <v/>
      </c>
      <c r="AX41" s="424">
        <f>IF($W41=1,$F$44,0)+IF(AND($W41&gt;0,$W41&lt;=$O$16),$F$45,0)</f>
        <v/>
      </c>
      <c r="AY41" s="425">
        <f>IF(AND(W41&gt;$F$16,W41&lt;=SUM($F$16:$F$17)),$P$54,0)</f>
        <v/>
      </c>
      <c r="AZ41" s="424">
        <f>IF(AND(SUM($AQ$16:AQ40)&gt;0,SUM($AZ$16:AZ40)&lt;$P$62,$W41&gt;=$P$65),$P$64,0)</f>
        <v/>
      </c>
      <c r="BA41" s="345">
        <f>IF(SUM($AQ$17:$AQ40)&gt;0,($P$62-SUM($AZ$17:$AZ40))*$F$65,0)</f>
        <v/>
      </c>
      <c r="BB41" s="346">
        <f>SUM(AT41:AY41)</f>
        <v/>
      </c>
      <c r="BC41" s="351">
        <f>AS41-BB41</f>
        <v/>
      </c>
      <c r="BD41" s="352">
        <f>BC41*$BF41</f>
        <v/>
      </c>
      <c r="BE41" s="393" t="n"/>
      <c r="BF41" s="46">
        <f>BF40/(1+$O$22)</f>
        <v/>
      </c>
      <c r="BH41" s="350">
        <f>AT41</f>
        <v/>
      </c>
      <c r="BI41" s="350">
        <f>AU41</f>
        <v/>
      </c>
      <c r="BJ41" s="351">
        <f>AV41</f>
        <v/>
      </c>
      <c r="BK41" s="351">
        <f>AW41</f>
        <v/>
      </c>
      <c r="BL41" s="351">
        <f>AY41</f>
        <v/>
      </c>
      <c r="BM41" s="351">
        <f>IF($W41&gt;$F$16,$F$56,0)</f>
        <v/>
      </c>
      <c r="BN41" s="352">
        <f>SUM(BH41:BM41)</f>
        <v/>
      </c>
      <c r="BO41" s="351">
        <f>IF($W41=$F$16,$P$32,0)</f>
        <v/>
      </c>
      <c r="BP41" s="351">
        <f>IF(AND(W41&gt;$F$16,W41&lt;=SUM($F$16:$F$17)),$P$41,0)</f>
        <v/>
      </c>
      <c r="BQ41" s="351">
        <f>IFERROR(-IPMT($P$67,W41-$F$16,$F$17,SUM(P$31,P$51)),0)</f>
        <v/>
      </c>
      <c r="BR41" s="351">
        <f>IF($W41&lt;=$O$16,$F$105,0)</f>
        <v/>
      </c>
      <c r="BS41" s="353">
        <f>IF($W41=1,SUM($O$103,$O$105),0)</f>
        <v/>
      </c>
      <c r="BT41" s="351">
        <f t="array" ref="BT41">IF($W41&lt;=$O$16,_xlfn.IFS(W41&lt;$F$16,$P$92,W41=$F$16,$P$93,W41&gt;$F$16,$P$94),0)</f>
        <v/>
      </c>
      <c r="BU41" s="352">
        <f>SUM(BO41:BP41,BR41:BT41)</f>
        <v/>
      </c>
      <c r="BV41" s="352">
        <f>BN41-BU41</f>
        <v/>
      </c>
      <c r="BW41" s="342" t="n"/>
      <c r="BX41" s="338">
        <f>IFERROR(-PPMT($P$67,$W41-$F$16,$F$17,SUM(P$31,P$51)),0)</f>
        <v/>
      </c>
      <c r="BY41" s="356">
        <f>IF(BV41-BX41&gt;=0,0,1)</f>
        <v/>
      </c>
      <c r="CA41" s="0" t="n"/>
    </row>
    <row r="42" ht="15.75" customHeight="1" s="302">
      <c r="C42" s="2" t="inlineStr">
        <is>
          <t>うち、予定価格を反映</t>
        </is>
      </c>
      <c r="D42" s="0" t="inlineStr">
        <is>
          <t>百万円</t>
        </is>
      </c>
      <c r="F42" s="359">
        <f>事業費用概算!G28</f>
        <v/>
      </c>
      <c r="K42" s="0" t="inlineStr">
        <is>
          <t>利用料金収入</t>
        </is>
      </c>
      <c r="N42" s="19" t="inlineStr">
        <is>
          <t>百万円</t>
        </is>
      </c>
      <c r="O42" s="362" t="n"/>
      <c r="P42" s="365">
        <f>F56</f>
        <v/>
      </c>
      <c r="Q42" s="0" t="inlineStr">
        <is>
          <t>サービス購入費から控除</t>
        </is>
      </c>
      <c r="V42" s="58">
        <f>IF(W42=1,DATE(YEAR($F$18)+(MONTH($F$18)&gt;=4),4,0),EOMONTH(V41,12))</f>
        <v/>
      </c>
      <c r="W42" s="26" t="n">
        <v>26</v>
      </c>
      <c r="X42" s="282">
        <f>IF(W42&gt;$O$16,"-",IF($W42&lt;=$F$16,"整備期間","維持管理・運営期間"))</f>
        <v/>
      </c>
      <c r="Y42" s="344">
        <f>IF($W42=$F$16,$O$61,0)</f>
        <v/>
      </c>
      <c r="Z42" s="345">
        <f>IF($W42=$F$16,$O$63,0)</f>
        <v/>
      </c>
      <c r="AA42" s="345">
        <f>IF($W42=$F$16,$O$62,0)</f>
        <v/>
      </c>
      <c r="AB42" s="345">
        <f>IF(X42="維持管理・運営期間",$F$56,0)</f>
        <v/>
      </c>
      <c r="AC42" s="346">
        <f>SUM(Y42:Z42,AB42)</f>
        <v/>
      </c>
      <c r="AD42" s="344">
        <f>IF($W42=$F$16,$O$30,0)</f>
        <v/>
      </c>
      <c r="AE42" s="345">
        <f>IF($X42="維持管理・運営期間",$O$41,0)</f>
        <v/>
      </c>
      <c r="AF42" s="345">
        <f>IF(AND($W42&gt;0,$W42&lt;=$O$16),$E$45,0)</f>
        <v/>
      </c>
      <c r="AG42" s="396">
        <f>IF(AND(SUM($AA$16:AA41)&gt;0,SUM($AG$16:AG41)&lt;$O$62,$W42&gt;=$O$65),$O$64,0)</f>
        <v/>
      </c>
      <c r="AH42" s="353">
        <f>IF(SUM($AA$17:$AA41)&gt;0,($O$62-SUM($AG$17:$AG41))*$E$65,0)</f>
        <v/>
      </c>
      <c r="AI42" s="346">
        <f>SUM(AD42:AF42)</f>
        <v/>
      </c>
      <c r="AJ42" s="351">
        <f>AC42-AI42</f>
        <v/>
      </c>
      <c r="AK42" s="338">
        <f>(SUM($P$31,$P$51)-SUM($AU$17:AU41))*$O$109</f>
        <v/>
      </c>
      <c r="AL42" s="348" t="n"/>
      <c r="AM42" s="352">
        <f>AJ42*$BF42</f>
        <v/>
      </c>
      <c r="AN42" s="349" t="n"/>
      <c r="AO42" s="350">
        <f>IF($W42=$F$16,$P$61,0)</f>
        <v/>
      </c>
      <c r="AP42" s="351">
        <f>IF($W42=$F$16,$P$63,0)</f>
        <v/>
      </c>
      <c r="AQ42" s="351">
        <f>IF($W42=$F$16,$P$62,0)</f>
        <v/>
      </c>
      <c r="AR42" s="345">
        <f>IF($W42&lt;$O$16,IF(W42=$F$16,$U$92,$U$93),0)</f>
        <v/>
      </c>
      <c r="AS42" s="346">
        <f>SUM(AO42:AP42,AR42)</f>
        <v/>
      </c>
      <c r="AT42" s="345">
        <f>IF(W42=$F$16,$P$30,0)</f>
        <v/>
      </c>
      <c r="AU42" s="345">
        <f>IFERROR(-PPMT($P$36,W42-$F$16,$F$17,SUM(P$31,P$51)),0)</f>
        <v/>
      </c>
      <c r="AV42" s="345">
        <f>IFERROR(-IPMT($P$36,W42-$F$16,$F$17,SUM($P$31,$P$51)),0)</f>
        <v/>
      </c>
      <c r="AW42" s="345">
        <f>IF(AND(W42&gt;$F$16,W42&lt;=SUM($F$16:$F$17)),$P$43,0)</f>
        <v/>
      </c>
      <c r="AX42" s="424">
        <f>IF($W42=1,$F$44,0)+IF(AND($W42&gt;0,$W42&lt;=$O$16),$F$45,0)</f>
        <v/>
      </c>
      <c r="AY42" s="425">
        <f>IF(AND(W42&gt;$F$16,W42&lt;=SUM($F$16:$F$17)),$P$54,0)</f>
        <v/>
      </c>
      <c r="AZ42" s="424">
        <f>IF(AND(SUM($AQ$16:AQ41)&gt;0,SUM($AZ$16:AZ41)&lt;$P$62,$W42&gt;=$P$65),$P$64,0)</f>
        <v/>
      </c>
      <c r="BA42" s="345">
        <f>IF(SUM($AQ$17:$AQ41)&gt;0,($P$62-SUM($AZ$17:$AZ41))*$F$65,0)</f>
        <v/>
      </c>
      <c r="BB42" s="346">
        <f>SUM(AT42:AY42)</f>
        <v/>
      </c>
      <c r="BC42" s="351">
        <f>AS42-BB42</f>
        <v/>
      </c>
      <c r="BD42" s="352">
        <f>BC42*$BF42</f>
        <v/>
      </c>
      <c r="BE42" s="393" t="n"/>
      <c r="BF42" s="46">
        <f>BF41/(1+$O$22)</f>
        <v/>
      </c>
      <c r="BH42" s="350">
        <f>AT42</f>
        <v/>
      </c>
      <c r="BI42" s="350">
        <f>AU42</f>
        <v/>
      </c>
      <c r="BJ42" s="351">
        <f>AV42</f>
        <v/>
      </c>
      <c r="BK42" s="351">
        <f>AW42</f>
        <v/>
      </c>
      <c r="BL42" s="351">
        <f>AY42</f>
        <v/>
      </c>
      <c r="BM42" s="351">
        <f>IF($W42&gt;$F$16,$F$56,0)</f>
        <v/>
      </c>
      <c r="BN42" s="352">
        <f>SUM(BH42:BM42)</f>
        <v/>
      </c>
      <c r="BO42" s="351">
        <f>IF($W42=$F$16,$P$32,0)</f>
        <v/>
      </c>
      <c r="BP42" s="351">
        <f>IF(AND(W42&gt;$F$16,W42&lt;=SUM($F$16:$F$17)),$P$41,0)</f>
        <v/>
      </c>
      <c r="BQ42" s="351">
        <f>IFERROR(-IPMT($P$67,W42-$F$16,$F$17,SUM(P$31,P$51)),0)</f>
        <v/>
      </c>
      <c r="BR42" s="351">
        <f>IF($W42&lt;=$O$16,$F$105,0)</f>
        <v/>
      </c>
      <c r="BS42" s="353">
        <f>IF($W42=1,SUM($O$103,$O$105),0)</f>
        <v/>
      </c>
      <c r="BT42" s="351">
        <f t="array" ref="BT42">IF($W42&lt;=$O$16,_xlfn.IFS(W42&lt;$F$16,$P$92,W42=$F$16,$P$93,W42&gt;$F$16,$P$94),0)</f>
        <v/>
      </c>
      <c r="BU42" s="352">
        <f>SUM(BO42:BP42,BR42:BT42)</f>
        <v/>
      </c>
      <c r="BV42" s="352">
        <f>BN42-BU42</f>
        <v/>
      </c>
      <c r="BW42" s="342" t="n"/>
      <c r="BX42" s="338">
        <f>IFERROR(-PPMT($P$67,$W42-$F$16,$F$17,SUM(P$31,P$51)),0)</f>
        <v/>
      </c>
      <c r="BY42" s="356">
        <f>IF(BV42-BX42&gt;=0,0,1)</f>
        <v/>
      </c>
      <c r="CA42" s="0" t="n"/>
    </row>
    <row r="43" ht="15.75" customHeight="1" s="302">
      <c r="B43" s="0" t="inlineStr">
        <is>
          <t>2.4その他公共側費用</t>
        </is>
      </c>
      <c r="E43" s="19" t="inlineStr">
        <is>
          <t>PSC</t>
        </is>
      </c>
      <c r="F43" s="19" t="inlineStr">
        <is>
          <t>PFI-LCC</t>
        </is>
      </c>
      <c r="K43" s="0" t="inlineStr">
        <is>
          <t>利用料金収入考慮後の維持管理運営に係るサービス購入費</t>
        </is>
      </c>
      <c r="N43" s="19" t="inlineStr">
        <is>
          <t>百万円</t>
        </is>
      </c>
      <c r="O43" s="365">
        <f>O41-O42</f>
        <v/>
      </c>
      <c r="P43" s="365">
        <f>P41-P42</f>
        <v/>
      </c>
      <c r="V43" s="58">
        <f>IF(W43=1,DATE(YEAR($F$18)+(MONTH($F$18)&gt;=4),4,0),EOMONTH(V42,12))</f>
        <v/>
      </c>
      <c r="W43" s="26" t="n">
        <v>27</v>
      </c>
      <c r="X43" s="282">
        <f>IF(W43&gt;$O$16,"-",IF($W43&lt;=$F$16,"整備期間","維持管理・運営期間"))</f>
        <v/>
      </c>
      <c r="Y43" s="344">
        <f>IF($W43=$F$16,$O$61,0)</f>
        <v/>
      </c>
      <c r="Z43" s="345">
        <f>IF($W43=$F$16,$O$63,0)</f>
        <v/>
      </c>
      <c r="AA43" s="345">
        <f>IF($W43=$F$16,$O$62,0)</f>
        <v/>
      </c>
      <c r="AB43" s="345">
        <f>IF(X43="維持管理・運営期間",$F$56,0)</f>
        <v/>
      </c>
      <c r="AC43" s="346">
        <f>SUM(Y43:Z43,AB43)</f>
        <v/>
      </c>
      <c r="AD43" s="344">
        <f>IF($W43=$F$16,$O$30,0)</f>
        <v/>
      </c>
      <c r="AE43" s="345">
        <f>IF($X43="維持管理・運営期間",$O$41,0)</f>
        <v/>
      </c>
      <c r="AF43" s="345">
        <f>IF(AND($W43&gt;0,$W43&lt;=$O$16),$E$45,0)</f>
        <v/>
      </c>
      <c r="AG43" s="396">
        <f>IF(AND(SUM($AA$16:AA42)&gt;0,SUM($AG$16:AG42)&lt;$O$62,$W43&gt;=$O$65),$O$64,0)</f>
        <v/>
      </c>
      <c r="AH43" s="353">
        <f>IF(SUM($AA$17:$AA42)&gt;0,($O$62-SUM($AG$17:$AG42))*$E$65,0)</f>
        <v/>
      </c>
      <c r="AI43" s="346">
        <f>SUM(AD43:AF43)</f>
        <v/>
      </c>
      <c r="AJ43" s="351">
        <f>AC43-AI43</f>
        <v/>
      </c>
      <c r="AK43" s="338">
        <f>(SUM($P$31,$P$51)-SUM($AU$17:AU42))*$O$109</f>
        <v/>
      </c>
      <c r="AL43" s="348" t="n"/>
      <c r="AM43" s="352">
        <f>AJ43*$BF43</f>
        <v/>
      </c>
      <c r="AN43" s="349" t="n"/>
      <c r="AO43" s="350">
        <f>IF($W43=$F$16,$P$61,0)</f>
        <v/>
      </c>
      <c r="AP43" s="351">
        <f>IF($W43=$F$16,$P$63,0)</f>
        <v/>
      </c>
      <c r="AQ43" s="351">
        <f>IF($W43=$F$16,$P$62,0)</f>
        <v/>
      </c>
      <c r="AR43" s="345">
        <f>IF($W43&lt;$O$16,IF(W43=$F$16,$U$92,$U$93),0)</f>
        <v/>
      </c>
      <c r="AS43" s="346">
        <f>SUM(AO43:AP43,AR43)</f>
        <v/>
      </c>
      <c r="AT43" s="345">
        <f>IF(W43=$F$16,$P$30,0)</f>
        <v/>
      </c>
      <c r="AU43" s="345">
        <f>IFERROR(-PPMT($P$36,W43-$F$16,$F$17,SUM(P$31,P$51)),0)</f>
        <v/>
      </c>
      <c r="AV43" s="345">
        <f>IFERROR(-IPMT($P$36,W43-$F$16,$F$17,SUM($P$31,$P$51)),0)</f>
        <v/>
      </c>
      <c r="AW43" s="345">
        <f>IF(AND(W43&gt;$F$16,W43&lt;=SUM($F$16:$F$17)),$P$43,0)</f>
        <v/>
      </c>
      <c r="AX43" s="424">
        <f>IF($W43=1,$F$44,0)+IF(AND($W43&gt;0,$W43&lt;=$O$16),$F$45,0)</f>
        <v/>
      </c>
      <c r="AY43" s="425">
        <f>IF(AND(W43&gt;$F$16,W43&lt;=SUM($F$16:$F$17)),$P$54,0)</f>
        <v/>
      </c>
      <c r="AZ43" s="424">
        <f>IF(AND(SUM($AQ$16:AQ42)&gt;0,SUM($AZ$16:AZ42)&lt;$P$62,$W43&gt;=$P$65),$P$64,0)</f>
        <v/>
      </c>
      <c r="BA43" s="345">
        <f>IF(SUM($AQ$17:$AQ42)&gt;0,($P$62-SUM($AZ$17:$AZ42))*$F$65,0)</f>
        <v/>
      </c>
      <c r="BB43" s="346">
        <f>SUM(AT43:AY43)</f>
        <v/>
      </c>
      <c r="BC43" s="351">
        <f>AS43-BB43</f>
        <v/>
      </c>
      <c r="BD43" s="352">
        <f>BC43*$BF43</f>
        <v/>
      </c>
      <c r="BE43" s="393" t="n"/>
      <c r="BF43" s="46">
        <f>BF42/(1+$O$22)</f>
        <v/>
      </c>
      <c r="BH43" s="350">
        <f>AT43</f>
        <v/>
      </c>
      <c r="BI43" s="350">
        <f>AU43</f>
        <v/>
      </c>
      <c r="BJ43" s="351">
        <f>AV43</f>
        <v/>
      </c>
      <c r="BK43" s="351">
        <f>AW43</f>
        <v/>
      </c>
      <c r="BL43" s="351">
        <f>AY43</f>
        <v/>
      </c>
      <c r="BM43" s="351">
        <f>IF($W43&gt;$F$16,$F$56,0)</f>
        <v/>
      </c>
      <c r="BN43" s="352">
        <f>SUM(BH43:BM43)</f>
        <v/>
      </c>
      <c r="BO43" s="351">
        <f>IF($W43=$F$16,$P$32,0)</f>
        <v/>
      </c>
      <c r="BP43" s="351">
        <f>IF(AND(W43&gt;$F$16,W43&lt;=SUM($F$16:$F$17)),$P$41,0)</f>
        <v/>
      </c>
      <c r="BQ43" s="351">
        <f>IFERROR(-IPMT($P$67,W43-$F$16,$F$17,SUM(P$31,P$51)),0)</f>
        <v/>
      </c>
      <c r="BR43" s="351">
        <f>IF($W43&lt;=$O$16,$F$105,0)</f>
        <v/>
      </c>
      <c r="BS43" s="353">
        <f>IF($W43=1,SUM($O$103,$O$105),0)</f>
        <v/>
      </c>
      <c r="BT43" s="351">
        <f t="array" ref="BT43">IF($W43&lt;=$O$16,_xlfn.IFS(W43&lt;$F$16,$P$92,W43=$F$16,$P$93,W43&gt;$F$16,$P$94),0)</f>
        <v/>
      </c>
      <c r="BU43" s="352">
        <f>SUM(BO43:BP43,BR43:BT43)</f>
        <v/>
      </c>
      <c r="BV43" s="352">
        <f>BN43-BU43</f>
        <v/>
      </c>
      <c r="BW43" s="342" t="n"/>
      <c r="BX43" s="338">
        <f>IFERROR(-PPMT($P$67,$W43-$F$16,$F$17,SUM(P$31,P$51)),0)</f>
        <v/>
      </c>
      <c r="BY43" s="356">
        <f>IF(BV43-BX43&gt;=0,0,1)</f>
        <v/>
      </c>
      <c r="CA43" s="0" t="n"/>
    </row>
    <row r="44" ht="15.75" customHeight="1" s="302">
      <c r="C44" s="275" t="inlineStr">
        <is>
          <t>当初費用（アドバイザーフィー等）</t>
        </is>
      </c>
      <c r="D44" s="0" t="inlineStr">
        <is>
          <t>百万円</t>
        </is>
      </c>
      <c r="E44" s="366" t="n"/>
      <c r="F44" s="305" t="n">
        <v>25</v>
      </c>
      <c r="K44" s="0" t="inlineStr">
        <is>
          <t>維持管理運営費用（総額）</t>
        </is>
      </c>
      <c r="N44" s="19" t="inlineStr">
        <is>
          <t>百万円</t>
        </is>
      </c>
      <c r="O44" s="364">
        <f>O41*$F$17</f>
        <v/>
      </c>
      <c r="P44" s="364">
        <f>P43*$F$17</f>
        <v/>
      </c>
      <c r="V44" s="58">
        <f>IF(W44=1,DATE(YEAR($F$18)+(MONTH($F$18)&gt;=4),4,0),EOMONTH(V43,12))</f>
        <v/>
      </c>
      <c r="W44" s="26" t="n">
        <v>28</v>
      </c>
      <c r="X44" s="282">
        <f>IF(W44&gt;$O$16,"-",IF($W44&lt;=$F$16,"整備期間","維持管理・運営期間"))</f>
        <v/>
      </c>
      <c r="Y44" s="344">
        <f>IF($W44=$F$16,$O$61,0)</f>
        <v/>
      </c>
      <c r="Z44" s="345">
        <f>IF($W44=$F$16,$O$63,0)</f>
        <v/>
      </c>
      <c r="AA44" s="345">
        <f>IF($W44=$F$16,$O$62,0)</f>
        <v/>
      </c>
      <c r="AB44" s="345">
        <f>IF(X44="維持管理・運営期間",$F$56,0)</f>
        <v/>
      </c>
      <c r="AC44" s="346">
        <f>SUM(Y44:Z44,AB44)</f>
        <v/>
      </c>
      <c r="AD44" s="344">
        <f>IF($W44=$F$16,$O$30,0)</f>
        <v/>
      </c>
      <c r="AE44" s="345">
        <f>IF($X44="維持管理・運営期間",$O$41,0)</f>
        <v/>
      </c>
      <c r="AF44" s="345">
        <f>IF(AND($W44&gt;0,$W44&lt;=$O$16),$E$45,0)</f>
        <v/>
      </c>
      <c r="AG44" s="396">
        <f>IF(AND(SUM($AA$16:AA43)&gt;0,SUM($AG$16:AG43)&lt;$O$62,$W44&gt;=$O$65),$O$64,0)</f>
        <v/>
      </c>
      <c r="AH44" s="353">
        <f>IF(SUM($AA$17:$AA43)&gt;0,($O$62-SUM($AG$17:$AG43))*$E$65,0)</f>
        <v/>
      </c>
      <c r="AI44" s="346">
        <f>SUM(AD44:AF44)</f>
        <v/>
      </c>
      <c r="AJ44" s="351">
        <f>AC44-AI44</f>
        <v/>
      </c>
      <c r="AK44" s="338">
        <f>(SUM($P$31,$P$51)-SUM($AU$17:AU43))*$O$109</f>
        <v/>
      </c>
      <c r="AL44" s="348" t="n"/>
      <c r="AM44" s="352">
        <f>AJ44*$BF44</f>
        <v/>
      </c>
      <c r="AN44" s="349" t="n"/>
      <c r="AO44" s="350">
        <f>IF($W44=$F$16,$P$61,0)</f>
        <v/>
      </c>
      <c r="AP44" s="351">
        <f>IF($W44=$F$16,$P$63,0)</f>
        <v/>
      </c>
      <c r="AQ44" s="351">
        <f>IF($W44=$F$16,$P$62,0)</f>
        <v/>
      </c>
      <c r="AR44" s="345">
        <f>IF($W44&lt;$O$16,IF(W44=$F$16,$U$92,$U$93),0)</f>
        <v/>
      </c>
      <c r="AS44" s="346">
        <f>SUM(AO44:AP44,AR44)</f>
        <v/>
      </c>
      <c r="AT44" s="345">
        <f>IF(W44=$F$16,$P$30,0)</f>
        <v/>
      </c>
      <c r="AU44" s="345">
        <f>IFERROR(-PPMT($P$36,W44-$F$16,$F$17,SUM(P$31,P$51)),0)</f>
        <v/>
      </c>
      <c r="AV44" s="345">
        <f>IFERROR(-IPMT($P$36,W44-$F$16,$F$17,SUM($P$31,$P$51)),0)</f>
        <v/>
      </c>
      <c r="AW44" s="345">
        <f>IF(AND(W44&gt;$F$16,W44&lt;=SUM($F$16:$F$17)),$P$43,0)</f>
        <v/>
      </c>
      <c r="AX44" s="424">
        <f>IF($W44=1,$F$44,0)+IF(AND($W44&gt;0,$W44&lt;=$O$16),$F$45,0)</f>
        <v/>
      </c>
      <c r="AY44" s="425">
        <f>IF(AND(W44&gt;$F$16,W44&lt;=SUM($F$16:$F$17)),$P$54,0)</f>
        <v/>
      </c>
      <c r="AZ44" s="424">
        <f>IF(AND(SUM($AQ$16:AQ43)&gt;0,SUM($AZ$16:AZ43)&lt;$P$62,$W44&gt;=$P$65),$P$64,0)</f>
        <v/>
      </c>
      <c r="BA44" s="345">
        <f>IF(SUM($AQ$17:$AQ43)&gt;0,($P$62-SUM($AZ$17:$AZ43))*$F$65,0)</f>
        <v/>
      </c>
      <c r="BB44" s="346">
        <f>SUM(AT44:AY44)</f>
        <v/>
      </c>
      <c r="BC44" s="351">
        <f>AS44-BB44</f>
        <v/>
      </c>
      <c r="BD44" s="352">
        <f>BC44*$BF44</f>
        <v/>
      </c>
      <c r="BE44" s="393" t="n"/>
      <c r="BF44" s="46">
        <f>BF43/(1+$O$22)</f>
        <v/>
      </c>
      <c r="BH44" s="350">
        <f>AT44</f>
        <v/>
      </c>
      <c r="BI44" s="350">
        <f>AU44</f>
        <v/>
      </c>
      <c r="BJ44" s="351">
        <f>AV44</f>
        <v/>
      </c>
      <c r="BK44" s="351">
        <f>AW44</f>
        <v/>
      </c>
      <c r="BL44" s="351">
        <f>AY44</f>
        <v/>
      </c>
      <c r="BM44" s="351">
        <f>IF($W44&gt;$F$16,$F$56,0)</f>
        <v/>
      </c>
      <c r="BN44" s="352">
        <f>SUM(BH44:BM44)</f>
        <v/>
      </c>
      <c r="BO44" s="351">
        <f>IF($W44=$F$16,$P$32,0)</f>
        <v/>
      </c>
      <c r="BP44" s="351">
        <f>IF(AND(W44&gt;$F$16,W44&lt;=SUM($F$16:$F$17)),$P$41,0)</f>
        <v/>
      </c>
      <c r="BQ44" s="351">
        <f>IFERROR(-IPMT($P$67,W44-$F$16,$F$17,SUM(P$31,P$51)),0)</f>
        <v/>
      </c>
      <c r="BR44" s="351">
        <f>IF($W44&lt;=$O$16,$F$105,0)</f>
        <v/>
      </c>
      <c r="BS44" s="353">
        <f>IF($W44=1,SUM($O$103,$O$105),0)</f>
        <v/>
      </c>
      <c r="BT44" s="351">
        <f t="array" ref="BT44">IF($W44&lt;=$O$16,_xlfn.IFS(W44&lt;$F$16,$P$92,W44=$F$16,$P$93,W44&gt;$F$16,$P$94),0)</f>
        <v/>
      </c>
      <c r="BU44" s="352">
        <f>SUM(BO44:BP44,BR44:BT44)</f>
        <v/>
      </c>
      <c r="BV44" s="352">
        <f>BN44-BU44</f>
        <v/>
      </c>
      <c r="BW44" s="342" t="n"/>
      <c r="BX44" s="338">
        <f>IFERROR(-PPMT($P$67,$W44-$F$16,$F$17,SUM(P$31,P$51)),0)</f>
        <v/>
      </c>
      <c r="BY44" s="356">
        <f>IF(BV44-BX44&gt;=0,0,1)</f>
        <v/>
      </c>
      <c r="CA44" s="0" t="n"/>
    </row>
    <row r="45" ht="15.75" customHeight="1" s="302">
      <c r="C45" s="0" t="inlineStr">
        <is>
          <t>期中費用（モニタリングコスト）</t>
        </is>
      </c>
      <c r="D45" s="0" t="inlineStr">
        <is>
          <t>百万円</t>
        </is>
      </c>
      <c r="E45" s="305" t="n">
        <v>10</v>
      </c>
      <c r="F45" s="305" t="n">
        <v>6</v>
      </c>
      <c r="V45" s="58">
        <f>IF(W45=1,DATE(YEAR($F$18)+(MONTH($F$18)&gt;=4),4,0),EOMONTH(V44,12))</f>
        <v/>
      </c>
      <c r="W45" s="26" t="n">
        <v>29</v>
      </c>
      <c r="X45" s="282">
        <f>IF(W45&gt;$O$16,"-",IF($W45&lt;=$F$16,"整備期間","維持管理・運営期間"))</f>
        <v/>
      </c>
      <c r="Y45" s="344">
        <f>IF($W45=$F$16,$O$61,0)</f>
        <v/>
      </c>
      <c r="Z45" s="345">
        <f>IF($W45=$F$16,$O$63,0)</f>
        <v/>
      </c>
      <c r="AA45" s="345">
        <f>IF($W45=$F$16,$O$62,0)</f>
        <v/>
      </c>
      <c r="AB45" s="345">
        <f>IF(X45="維持管理・運営期間",$F$56,0)</f>
        <v/>
      </c>
      <c r="AC45" s="346">
        <f>SUM(Y45:Z45,AB45)</f>
        <v/>
      </c>
      <c r="AD45" s="344">
        <f>IF($W45=$F$16,$O$30,0)</f>
        <v/>
      </c>
      <c r="AE45" s="345">
        <f>IF($X45="維持管理・運営期間",$O$41,0)</f>
        <v/>
      </c>
      <c r="AF45" s="345">
        <f>IF(AND($W45&gt;0,$W45&lt;=$O$16),$E$45,0)</f>
        <v/>
      </c>
      <c r="AG45" s="396">
        <f>IF(AND(SUM($AA$16:AA44)&gt;0,SUM($AG$16:AG44)&lt;$O$62,$W45&gt;=$O$65),$O$64,0)</f>
        <v/>
      </c>
      <c r="AH45" s="353">
        <f>IF(SUM($AA$17:$AA44)&gt;0,($O$62-SUM($AG$17:$AG44))*$E$65,0)</f>
        <v/>
      </c>
      <c r="AI45" s="346">
        <f>SUM(AD45:AF45)</f>
        <v/>
      </c>
      <c r="AJ45" s="351">
        <f>AC45-AI45</f>
        <v/>
      </c>
      <c r="AK45" s="338">
        <f>(SUM($P$31,$P$51)-SUM($AU$17:AU44))*$O$109</f>
        <v/>
      </c>
      <c r="AL45" s="348" t="n"/>
      <c r="AM45" s="352">
        <f>AJ45*$BF45</f>
        <v/>
      </c>
      <c r="AN45" s="349" t="n"/>
      <c r="AO45" s="350">
        <f>IF($W45=$F$16,$P$61,0)</f>
        <v/>
      </c>
      <c r="AP45" s="351">
        <f>IF($W45=$F$16,$P$63,0)</f>
        <v/>
      </c>
      <c r="AQ45" s="351">
        <f>IF($W45=$F$16,$P$62,0)</f>
        <v/>
      </c>
      <c r="AR45" s="345">
        <f>IF($W45&lt;$O$16,IF(W45=$F$16,$U$92,$U$93),0)</f>
        <v/>
      </c>
      <c r="AS45" s="346">
        <f>SUM(AO45:AP45,AR45)</f>
        <v/>
      </c>
      <c r="AT45" s="345">
        <f>IF(W45=$F$16,$P$30,0)</f>
        <v/>
      </c>
      <c r="AU45" s="345">
        <f>IFERROR(-PPMT($P$36,W45-$F$16,$F$17,SUM(P$31,P$51)),0)</f>
        <v/>
      </c>
      <c r="AV45" s="345">
        <f>IFERROR(-IPMT($P$36,W45-$F$16,$F$17,SUM($P$31,$P$51)),0)</f>
        <v/>
      </c>
      <c r="AW45" s="345">
        <f>IF(AND(W45&gt;$F$16,W45&lt;=SUM($F$16:$F$17)),$P$43,0)</f>
        <v/>
      </c>
      <c r="AX45" s="424">
        <f>IF($W45=1,$F$44,0)+IF(AND($W45&gt;0,$W45&lt;=$O$16),$F$45,0)</f>
        <v/>
      </c>
      <c r="AY45" s="425">
        <f>IF(AND(W45&gt;$F$16,W45&lt;=SUM($F$16:$F$17)),$P$54,0)</f>
        <v/>
      </c>
      <c r="AZ45" s="424">
        <f>IF(AND(SUM($AQ$16:AQ44)&gt;0,SUM($AZ$16:AZ44)&lt;$P$62,$W45&gt;=$P$65),$P$64,0)</f>
        <v/>
      </c>
      <c r="BA45" s="345">
        <f>IF(SUM($AQ$17:$AQ44)&gt;0,($P$62-SUM($AZ$17:$AZ44))*$F$65,0)</f>
        <v/>
      </c>
      <c r="BB45" s="346">
        <f>SUM(AT45:AY45)</f>
        <v/>
      </c>
      <c r="BC45" s="351">
        <f>AS45-BB45</f>
        <v/>
      </c>
      <c r="BD45" s="352">
        <f>BC45*$BF45</f>
        <v/>
      </c>
      <c r="BE45" s="393" t="n"/>
      <c r="BF45" s="46">
        <f>BF44/(1+$O$22)</f>
        <v/>
      </c>
      <c r="BH45" s="350">
        <f>AT45</f>
        <v/>
      </c>
      <c r="BI45" s="350">
        <f>AU45</f>
        <v/>
      </c>
      <c r="BJ45" s="351">
        <f>AV45</f>
        <v/>
      </c>
      <c r="BK45" s="351">
        <f>AW45</f>
        <v/>
      </c>
      <c r="BL45" s="351">
        <f>AY45</f>
        <v/>
      </c>
      <c r="BM45" s="351">
        <f>IF($W45&gt;$F$16,$F$56,0)</f>
        <v/>
      </c>
      <c r="BN45" s="352">
        <f>SUM(BH45:BM45)</f>
        <v/>
      </c>
      <c r="BO45" s="351">
        <f>IF($W45=$F$16,$P$32,0)</f>
        <v/>
      </c>
      <c r="BP45" s="351">
        <f>IF(AND(W45&gt;$F$16,W45&lt;=SUM($F$16:$F$17)),$P$41,0)</f>
        <v/>
      </c>
      <c r="BQ45" s="351">
        <f>IFERROR(-IPMT($P$67,W45-$F$16,$F$17,SUM(P$31,P$51)),0)</f>
        <v/>
      </c>
      <c r="BR45" s="351">
        <f>IF($W45&lt;=$O$16,$F$105,0)</f>
        <v/>
      </c>
      <c r="BS45" s="353">
        <f>IF($W45=1,SUM($O$103,$O$105),0)</f>
        <v/>
      </c>
      <c r="BT45" s="351">
        <f t="array" ref="BT45">IF($W45&lt;=$O$16,_xlfn.IFS(W45&lt;$F$16,$P$92,W45=$F$16,$P$93,W45&gt;$F$16,$P$94),0)</f>
        <v/>
      </c>
      <c r="BU45" s="352">
        <f>SUM(BO45:BP45,BR45:BT45)</f>
        <v/>
      </c>
      <c r="BV45" s="352">
        <f>BN45-BU45</f>
        <v/>
      </c>
      <c r="BW45" s="342" t="n"/>
      <c r="BX45" s="338">
        <f>IFERROR(-PPMT($P$67,$W45-$F$16,$F$17,SUM(P$31,P$51)),0)</f>
        <v/>
      </c>
      <c r="BY45" s="356">
        <f>IF(BV45-BX45&gt;=0,0,1)</f>
        <v/>
      </c>
      <c r="CA45" s="0" t="n"/>
    </row>
    <row r="46" ht="15.75" customHeight="1" s="302">
      <c r="B46" s="0" t="inlineStr">
        <is>
          <t>2.5 SPC費用、税金等</t>
        </is>
      </c>
      <c r="J46" s="4" t="inlineStr">
        <is>
          <t>2.5 SPC費用、税金等の取扱い</t>
        </is>
      </c>
      <c r="V46" s="58">
        <f>IF(W46=1,DATE(YEAR($F$18)+(MONTH($F$18)&gt;=4),4,0),EOMONTH(V45,12))</f>
        <v/>
      </c>
      <c r="W46" s="26" t="n">
        <v>30</v>
      </c>
      <c r="X46" s="282">
        <f>IF(W46&gt;$O$16,"-",IF($W46&lt;=$F$16,"整備期間","維持管理・運営期間"))</f>
        <v/>
      </c>
      <c r="Y46" s="344">
        <f>IF($W46=$F$16,$O$61,0)</f>
        <v/>
      </c>
      <c r="Z46" s="345">
        <f>IF($W46=$F$16,$O$63,0)</f>
        <v/>
      </c>
      <c r="AA46" s="345">
        <f>IF($W46=$F$16,$O$62,0)</f>
        <v/>
      </c>
      <c r="AB46" s="345">
        <f>IF(X46="維持管理・運営期間",$F$56,0)</f>
        <v/>
      </c>
      <c r="AC46" s="346">
        <f>SUM(Y46:Z46,AB46)</f>
        <v/>
      </c>
      <c r="AD46" s="344">
        <f>IF($W46=$F$16,$O$30,0)</f>
        <v/>
      </c>
      <c r="AE46" s="345">
        <f>IF($X46="維持管理・運営期間",$O$41,0)</f>
        <v/>
      </c>
      <c r="AF46" s="345">
        <f>IF(AND($W46&gt;0,$W46&lt;=$O$16),$E$45,0)</f>
        <v/>
      </c>
      <c r="AG46" s="396">
        <f>IF(AND(SUM($AA$16:AA45)&gt;0,SUM($AG$16:AG45)&lt;$O$62,$W46&gt;=$O$65),$O$64,0)</f>
        <v/>
      </c>
      <c r="AH46" s="353">
        <f>IF(SUM($AA$17:$AA45)&gt;0,($O$62-SUM($AG$17:$AG45))*$E$65,0)</f>
        <v/>
      </c>
      <c r="AI46" s="346">
        <f>SUM(AD46:AF46)</f>
        <v/>
      </c>
      <c r="AJ46" s="351">
        <f>AC46-AI46</f>
        <v/>
      </c>
      <c r="AK46" s="338">
        <f>(SUM($P$31,$P$51)-SUM($AU$17:AU45))*$O$109</f>
        <v/>
      </c>
      <c r="AL46" s="348" t="n"/>
      <c r="AM46" s="352">
        <f>AJ46*$BF46</f>
        <v/>
      </c>
      <c r="AN46" s="349" t="n"/>
      <c r="AO46" s="350">
        <f>IF($W46=$F$16,$P$61,0)</f>
        <v/>
      </c>
      <c r="AP46" s="351">
        <f>IF($W46=$F$16,$P$63,0)</f>
        <v/>
      </c>
      <c r="AQ46" s="351">
        <f>IF($W46=$F$16,$P$62,0)</f>
        <v/>
      </c>
      <c r="AR46" s="345">
        <f>IF($W46&lt;$O$16,IF(W46=$F$16,$U$92,$U$93),0)</f>
        <v/>
      </c>
      <c r="AS46" s="346">
        <f>SUM(AO46:AP46,AR46)</f>
        <v/>
      </c>
      <c r="AT46" s="345">
        <f>IF(W46=$F$16,$P$30,0)</f>
        <v/>
      </c>
      <c r="AU46" s="345">
        <f>IFERROR(-PPMT($P$36,W46-$F$16,$F$17,SUM(P$31,P$51)),0)</f>
        <v/>
      </c>
      <c r="AV46" s="345">
        <f>IFERROR(-IPMT($P$36,W46-$F$16,$F$17,SUM($P$31,$P$51)),0)</f>
        <v/>
      </c>
      <c r="AW46" s="345">
        <f>IF(AND(W46&gt;$F$16,W46&lt;=SUM($F$16:$F$17)),$P$43,0)</f>
        <v/>
      </c>
      <c r="AX46" s="424">
        <f>IF($W46=1,$F$44,0)+IF(AND($W46&gt;0,$W46&lt;=$O$16),$F$45,0)</f>
        <v/>
      </c>
      <c r="AY46" s="425">
        <f>IF(AND(W46&gt;$F$16,W46&lt;=SUM($F$16:$F$17)),$P$54,0)</f>
        <v/>
      </c>
      <c r="AZ46" s="424">
        <f>IF(AND(SUM($AQ$16:AQ45)&gt;0,SUM($AZ$16:AZ45)&lt;$P$62,$W46&gt;=$P$65),$P$64,0)</f>
        <v/>
      </c>
      <c r="BA46" s="345">
        <f>IF(SUM($AQ$17:$AQ45)&gt;0,($P$62-SUM($AZ$17:$AZ45))*$F$65,0)</f>
        <v/>
      </c>
      <c r="BB46" s="346">
        <f>SUM(AT46:AY46)</f>
        <v/>
      </c>
      <c r="BC46" s="351">
        <f>AS46-BB46</f>
        <v/>
      </c>
      <c r="BD46" s="352">
        <f>BC46*$BF46</f>
        <v/>
      </c>
      <c r="BE46" s="393" t="n"/>
      <c r="BF46" s="47">
        <f>BF45/(1+$O$22)</f>
        <v/>
      </c>
      <c r="BH46" s="350">
        <f>AT46</f>
        <v/>
      </c>
      <c r="BI46" s="350">
        <f>AU46</f>
        <v/>
      </c>
      <c r="BJ46" s="351">
        <f>AV46</f>
        <v/>
      </c>
      <c r="BK46" s="351">
        <f>AW46</f>
        <v/>
      </c>
      <c r="BL46" s="351">
        <f>AY46</f>
        <v/>
      </c>
      <c r="BM46" s="345">
        <f>IF($W46&gt;$F$16,$F$56,0)</f>
        <v/>
      </c>
      <c r="BN46" s="346">
        <f>SUM(BH46:BM46)</f>
        <v/>
      </c>
      <c r="BO46" s="351">
        <f>IF($W46=$F$16,$P$32,0)</f>
        <v/>
      </c>
      <c r="BP46" s="351">
        <f>IF(AND(W46&gt;$F$16,W46&lt;=SUM($F$16:$F$17)),$P$41,0)</f>
        <v/>
      </c>
      <c r="BQ46" s="351">
        <f>IFERROR(-IPMT($P$67,W46-$F$16,$F$17,SUM(P$31,P$51)),0)</f>
        <v/>
      </c>
      <c r="BR46" s="351">
        <f>IF($W46&lt;=$O$16,$F$105,0)</f>
        <v/>
      </c>
      <c r="BS46" s="353">
        <f>IF($W46=1,SUM($O$103,$O$105),0)</f>
        <v/>
      </c>
      <c r="BT46" s="351">
        <f t="array" ref="BT46">IF($W46&lt;=$O$16,_xlfn.IFS(W46&lt;$F$16,$P$92,W46=$F$16,$P$93,W46&gt;$F$16,$P$94),0)</f>
        <v/>
      </c>
      <c r="BU46" s="346">
        <f>SUM(BO46:BP46,BR46:BT46)</f>
        <v/>
      </c>
      <c r="BV46" s="346">
        <f>BN46-BU46</f>
        <v/>
      </c>
      <c r="BW46" s="342" t="n"/>
      <c r="BX46" s="338">
        <f>IFERROR(-PPMT($P$67,$W46-$F$16,$F$17,SUM(P$31,P$51)),0)</f>
        <v/>
      </c>
      <c r="BY46" s="356">
        <f>IF(BV46-BX46&gt;=0,0,1)</f>
        <v/>
      </c>
      <c r="CA46" s="0" t="n"/>
    </row>
    <row r="47" ht="15.75" customHeight="1" s="302">
      <c r="F47" s="367" t="n">
        <v>1</v>
      </c>
      <c r="G47" s="0" t="n">
        <v>0</v>
      </c>
      <c r="H47" s="0" t="inlineStr">
        <is>
          <t>割賦金利に含めて支払</t>
        </is>
      </c>
      <c r="K47" s="0" t="inlineStr">
        <is>
          <t>SPC費用　年額</t>
        </is>
      </c>
      <c r="V47" s="58">
        <f>IF(W47=1,DATE(YEAR($F$18)+(MONTH($F$18)&gt;=4),4,0),EOMONTH(V46,12))</f>
        <v/>
      </c>
      <c r="W47" s="26" t="n">
        <v>31</v>
      </c>
      <c r="X47" s="282">
        <f>IF(W47&gt;$O$16,"-",IF($W47&lt;=$F$16,"整備期間","維持管理・運営期間"))</f>
        <v/>
      </c>
      <c r="Y47" s="344">
        <f>IF($W47=$F$16,$O$61,0)</f>
        <v/>
      </c>
      <c r="Z47" s="345">
        <f>IF($W47=$F$16,$O$63,0)</f>
        <v/>
      </c>
      <c r="AA47" s="345">
        <f>IF($W47=$F$16,$O$62,0)</f>
        <v/>
      </c>
      <c r="AB47" s="345">
        <f>IF(X47="維持管理・運営期間",$F$56,0)</f>
        <v/>
      </c>
      <c r="AC47" s="346">
        <f>SUM(Y47:Z47,AB47)</f>
        <v/>
      </c>
      <c r="AD47" s="344">
        <f>IF($W47=$F$16,$O$30,0)</f>
        <v/>
      </c>
      <c r="AE47" s="345">
        <f>IF($X47="維持管理・運営期間",$O$41,0)</f>
        <v/>
      </c>
      <c r="AF47" s="345">
        <f>IF(AND($W47&gt;0,$W47&lt;=$O$16),$E$45,0)</f>
        <v/>
      </c>
      <c r="AG47" s="396">
        <f>IF(AND(SUM($AA$16:AA46)&gt;0,SUM($AG$16:AG46)&lt;$O$62,$W47&gt;=$O$65),$O$64,0)</f>
        <v/>
      </c>
      <c r="AH47" s="353">
        <f>IF(SUM($AA$17:$AA46)&gt;0,($O$62-SUM($AG$17:$AG46))*$E$65,0)</f>
        <v/>
      </c>
      <c r="AI47" s="346">
        <f>SUM(AD47:AF47)</f>
        <v/>
      </c>
      <c r="AJ47" s="351">
        <f>AC47-AI47</f>
        <v/>
      </c>
      <c r="AK47" s="338">
        <f>(SUM($P$31,$P$51)-SUM($AU$17:AU46))*$O$109</f>
        <v/>
      </c>
      <c r="AL47" s="348" t="n"/>
      <c r="AM47" s="352">
        <f>AJ47*$BF47</f>
        <v/>
      </c>
      <c r="AN47" s="349" t="n"/>
      <c r="AO47" s="350">
        <f>IF($W47=$F$16,$P$61,0)</f>
        <v/>
      </c>
      <c r="AP47" s="351">
        <f>IF($W47=$F$16,$P$63,0)</f>
        <v/>
      </c>
      <c r="AQ47" s="351">
        <f>IF($W47=$F$16,$P$62,0)</f>
        <v/>
      </c>
      <c r="AR47" s="345">
        <f>IF($W47&lt;$O$16,IF(W47=$F$16,$U$92,$U$93),0)</f>
        <v/>
      </c>
      <c r="AS47" s="346">
        <f>SUM(AO47:AP47,AR47)</f>
        <v/>
      </c>
      <c r="AT47" s="345">
        <f>IF(W47=$F$16,$P$30,0)</f>
        <v/>
      </c>
      <c r="AU47" s="345">
        <f>IFERROR(-PPMT($P$36,W47-$F$16,$F$17,SUM(P$31,P$51)),0)</f>
        <v/>
      </c>
      <c r="AV47" s="345">
        <f>IFERROR(-IPMT($P$36,W47-$F$16,$F$17,SUM($P$31,$P$51)),0)</f>
        <v/>
      </c>
      <c r="AW47" s="345">
        <f>IF(AND(W47&gt;$F$16,W47&lt;=SUM($F$16:$F$17)),$P$43,0)</f>
        <v/>
      </c>
      <c r="AX47" s="424">
        <f>IF($W47=1,$F$44,0)+IF(AND($W47&gt;0,$W47&lt;=$O$16),$F$45,0)</f>
        <v/>
      </c>
      <c r="AY47" s="425">
        <f>IF(AND(W47&gt;$F$16,W47&lt;=SUM($F$16:$F$17)),$P$54,0)</f>
        <v/>
      </c>
      <c r="AZ47" s="424">
        <f>IF(AND(SUM($AQ$16:AQ46)&gt;0,SUM($AZ$16:AZ46)&lt;$P$62,$W47&gt;=$P$65),$P$64,0)</f>
        <v/>
      </c>
      <c r="BA47" s="345">
        <f>IF(SUM($AQ$17:$AQ46)&gt;0,($P$62-SUM($AZ$17:$AZ46))*$F$65,0)</f>
        <v/>
      </c>
      <c r="BB47" s="346">
        <f>SUM(AT47:AY47)</f>
        <v/>
      </c>
      <c r="BC47" s="351">
        <f>AS47-BB47</f>
        <v/>
      </c>
      <c r="BD47" s="352">
        <f>BC47*$BF47</f>
        <v/>
      </c>
      <c r="BE47" s="393" t="n"/>
      <c r="BF47" s="47">
        <f>BF46/(1+$O$22)</f>
        <v/>
      </c>
      <c r="BH47" s="350">
        <f>AT47</f>
        <v/>
      </c>
      <c r="BI47" s="350">
        <f>AU47</f>
        <v/>
      </c>
      <c r="BJ47" s="351">
        <f>AV47</f>
        <v/>
      </c>
      <c r="BK47" s="351">
        <f>AW47</f>
        <v/>
      </c>
      <c r="BL47" s="351">
        <f>AY47</f>
        <v/>
      </c>
      <c r="BM47" s="345">
        <f>IF($W47&gt;$F$16,$F$56,0)</f>
        <v/>
      </c>
      <c r="BN47" s="346">
        <f>SUM(BH47:BM47)</f>
        <v/>
      </c>
      <c r="BO47" s="351">
        <f>IF($W47=$F$16,$P$32,0)</f>
        <v/>
      </c>
      <c r="BP47" s="351">
        <f>IF(AND(W47&gt;$F$16,W47&lt;=SUM($F$16:$F$17)),$P$41,0)</f>
        <v/>
      </c>
      <c r="BQ47" s="351">
        <f>IFERROR(-IPMT($P$67,W47-$F$16,$F$17,SUM(P$31,P$51)),0)</f>
        <v/>
      </c>
      <c r="BR47" s="351">
        <f>IF($W47&lt;=$O$16,$F$105,0)</f>
        <v/>
      </c>
      <c r="BS47" s="353">
        <f>IF($W47=1,SUM($O$103,$O$105),0)</f>
        <v/>
      </c>
      <c r="BT47" s="351">
        <f t="array" ref="BT47">IF($W47&lt;=$O$16,_xlfn.IFS(W47&lt;$F$16,$P$92,W47=$F$16,$P$93,W47&gt;$F$16,$P$94),0)</f>
        <v/>
      </c>
      <c r="BU47" s="346">
        <f>SUM(BO47:BP47,BR47:BT47)</f>
        <v/>
      </c>
      <c r="BV47" s="346">
        <f>BN47-BU47</f>
        <v/>
      </c>
      <c r="BW47" s="342" t="n"/>
      <c r="BX47" s="338">
        <f>IFERROR(-PPMT($P$67,$W47-$F$16,$F$17,SUM(P$31,P$51)),0)</f>
        <v/>
      </c>
      <c r="BY47" s="356">
        <f>IF(BV47-BX47&gt;=0,0,1)</f>
        <v/>
      </c>
      <c r="CA47" s="0" t="n"/>
    </row>
    <row r="48" ht="15.75" customHeight="1" s="302">
      <c r="G48" s="0" t="n">
        <v>1</v>
      </c>
      <c r="H48" s="0" t="inlineStr">
        <is>
          <t>サービス購入費として支払</t>
        </is>
      </c>
      <c r="M48" s="0" t="inlineStr">
        <is>
          <t>SPC設立費用</t>
        </is>
      </c>
      <c r="N48" s="19" t="inlineStr">
        <is>
          <t>百万円</t>
        </is>
      </c>
      <c r="O48" s="362" t="n"/>
      <c r="P48" s="360">
        <f>F104</f>
        <v/>
      </c>
      <c r="V48" s="58">
        <f>IF(W48=1,DATE(YEAR($F$18)+(MONTH($F$18)&gt;=4),4,0),EOMONTH(V47,12))</f>
        <v/>
      </c>
      <c r="W48" s="26" t="n">
        <v>32</v>
      </c>
      <c r="X48" s="282">
        <f>IF(W48&gt;$O$16,"-",IF($W48&lt;=$F$16,"整備期間","維持管理・運営期間"))</f>
        <v/>
      </c>
      <c r="Y48" s="344">
        <f>IF($W48=$F$16,$O$61,0)</f>
        <v/>
      </c>
      <c r="Z48" s="345">
        <f>IF($W48=$F$16,$O$63,0)</f>
        <v/>
      </c>
      <c r="AA48" s="345">
        <f>IF($W48=$F$16,$O$62,0)</f>
        <v/>
      </c>
      <c r="AB48" s="345">
        <f>IF(X48="維持管理・運営期間",$F$56,0)</f>
        <v/>
      </c>
      <c r="AC48" s="346">
        <f>SUM(Y48:Z48,AB48)</f>
        <v/>
      </c>
      <c r="AD48" s="344">
        <f>IF($W48=$F$16,$O$30,0)</f>
        <v/>
      </c>
      <c r="AE48" s="345">
        <f>IF($X48="維持管理・運営期間",$O$41,0)</f>
        <v/>
      </c>
      <c r="AF48" s="345">
        <f>IF(AND($W48&gt;0,$W48&lt;=$O$16),$E$45,0)</f>
        <v/>
      </c>
      <c r="AG48" s="396">
        <f>IF(AND(SUM($AA$16:AA47)&gt;0,SUM($AG$16:AG47)&lt;$O$62,$W48&gt;=$O$65),$O$64,0)</f>
        <v/>
      </c>
      <c r="AH48" s="353">
        <f>IF(SUM($AA$17:$AA47)&gt;0,($O$62-SUM($AG$17:$AG47))*$E$65,0)</f>
        <v/>
      </c>
      <c r="AI48" s="346">
        <f>SUM(AD48:AF48)</f>
        <v/>
      </c>
      <c r="AJ48" s="351">
        <f>AC48-AI48</f>
        <v/>
      </c>
      <c r="AK48" s="338">
        <f>(SUM($P$31,$P$51)-SUM($AU$17:AU47))*$O$109</f>
        <v/>
      </c>
      <c r="AL48" s="348" t="n"/>
      <c r="AM48" s="352">
        <f>AJ48*$BF48</f>
        <v/>
      </c>
      <c r="AN48" s="349" t="n"/>
      <c r="AO48" s="350">
        <f>IF($W48=$F$16,$P$61,0)</f>
        <v/>
      </c>
      <c r="AP48" s="351">
        <f>IF($W48=$F$16,$P$63,0)</f>
        <v/>
      </c>
      <c r="AQ48" s="351">
        <f>IF($W48=$F$16,$P$62,0)</f>
        <v/>
      </c>
      <c r="AR48" s="345">
        <f>IF($W48&lt;$O$16,IF(W48=$F$16,$U$92,$U$93),0)</f>
        <v/>
      </c>
      <c r="AS48" s="346">
        <f>SUM(AO48:AP48,AR48)</f>
        <v/>
      </c>
      <c r="AT48" s="345">
        <f>IF(W48=$F$16,$P$30,0)</f>
        <v/>
      </c>
      <c r="AU48" s="345">
        <f>IFERROR(-PPMT($P$36,W48-$F$16,$F$17,SUM(P$31,P$51)),0)</f>
        <v/>
      </c>
      <c r="AV48" s="345">
        <f>IFERROR(-IPMT($P$36,W48-$F$16,$F$17,SUM($P$31,$P$51)),0)</f>
        <v/>
      </c>
      <c r="AW48" s="345">
        <f>IF(AND(W48&gt;$F$16,W48&lt;=SUM($F$16:$F$17)),$P$43,0)</f>
        <v/>
      </c>
      <c r="AX48" s="424">
        <f>IF($W48=1,$F$44,0)+IF(AND($W48&gt;0,$W48&lt;=$O$16),$F$45,0)</f>
        <v/>
      </c>
      <c r="AY48" s="425">
        <f>IF(AND(W48&gt;$F$16,W48&lt;=SUM($F$16:$F$17)),$P$54,0)</f>
        <v/>
      </c>
      <c r="AZ48" s="424">
        <f>IF(AND(SUM($AQ$16:AQ47)&gt;0,SUM($AZ$16:AZ47)&lt;$P$62,$W48&gt;=$P$65),$P$64,0)</f>
        <v/>
      </c>
      <c r="BA48" s="345">
        <f>IF(SUM($AQ$17:$AQ47)&gt;0,($P$62-SUM($AZ$17:$AZ47))*$F$65,0)</f>
        <v/>
      </c>
      <c r="BB48" s="346">
        <f>SUM(AT48:AY48)</f>
        <v/>
      </c>
      <c r="BC48" s="351">
        <f>AS48-BB48</f>
        <v/>
      </c>
      <c r="BD48" s="352">
        <f>BC48*$BF48</f>
        <v/>
      </c>
      <c r="BE48" s="393" t="n"/>
      <c r="BF48" s="47">
        <f>BF47/(1+$O$22)</f>
        <v/>
      </c>
      <c r="BH48" s="350">
        <f>AT48</f>
        <v/>
      </c>
      <c r="BI48" s="350">
        <f>AU48</f>
        <v/>
      </c>
      <c r="BJ48" s="351">
        <f>AV48</f>
        <v/>
      </c>
      <c r="BK48" s="351">
        <f>AW48</f>
        <v/>
      </c>
      <c r="BL48" s="351">
        <f>AY48</f>
        <v/>
      </c>
      <c r="BM48" s="345">
        <f>IF($W48&gt;$F$16,$F$56,0)</f>
        <v/>
      </c>
      <c r="BN48" s="346">
        <f>SUM(BH48:BM48)</f>
        <v/>
      </c>
      <c r="BO48" s="351">
        <f>IF($W48=$F$16,$P$32,0)</f>
        <v/>
      </c>
      <c r="BP48" s="351">
        <f>IF(AND(W48&gt;$F$16,W48&lt;=SUM($F$16:$F$17)),$P$41,0)</f>
        <v/>
      </c>
      <c r="BQ48" s="351">
        <f>IFERROR(-IPMT($P$67,W48-$F$16,$F$17,SUM(P$31,P$51)),0)</f>
        <v/>
      </c>
      <c r="BR48" s="351">
        <f>IF($W48&lt;=$O$16,$F$105,0)</f>
        <v/>
      </c>
      <c r="BS48" s="353">
        <f>IF($W48=1,SUM($O$103,$O$105),0)</f>
        <v/>
      </c>
      <c r="BT48" s="351">
        <f t="array" ref="BT48">IF($W48&lt;=$O$16,_xlfn.IFS(W48&lt;$F$16,$P$92,W48=$F$16,$P$93,W48&gt;$F$16,$P$94),0)</f>
        <v/>
      </c>
      <c r="BU48" s="346">
        <f>SUM(BO48:BP48,BR48:BT48)</f>
        <v/>
      </c>
      <c r="BV48" s="346">
        <f>BN48-BU48</f>
        <v/>
      </c>
      <c r="BW48" s="342" t="n"/>
      <c r="BX48" s="338">
        <f>IFERROR(-PPMT($P$67,$W48-$F$16,$F$17,SUM(P$31,P$51)),0)</f>
        <v/>
      </c>
      <c r="BY48" s="356">
        <f>IF(BV48-BX48&gt;=0,0,1)</f>
        <v/>
      </c>
    </row>
    <row r="49" ht="15.75" customHeight="1" s="302">
      <c r="B49" s="93" t="inlineStr">
        <is>
          <t>2.6調整項目</t>
        </is>
      </c>
      <c r="I49" s="19" t="n"/>
      <c r="M49" s="0" t="inlineStr">
        <is>
          <t>開業前SPC経費</t>
        </is>
      </c>
      <c r="N49" s="19" t="inlineStr">
        <is>
          <t>百万円</t>
        </is>
      </c>
      <c r="O49" s="368" t="n"/>
      <c r="P49" s="369">
        <f>F105*$F$16</f>
        <v/>
      </c>
      <c r="V49" s="58">
        <f>IF(W49=1,DATE(YEAR($F$18)+(MONTH($F$18)&gt;=4),4,0),EOMONTH(V48,12))</f>
        <v/>
      </c>
      <c r="W49" s="26" t="n">
        <v>33</v>
      </c>
      <c r="X49" s="282">
        <f>IF(W49&gt;$O$16,"-",IF($W49&lt;=$F$16,"整備期間","維持管理・運営期間"))</f>
        <v/>
      </c>
      <c r="Y49" s="344">
        <f>IF($W49=$F$16,$O$61,0)</f>
        <v/>
      </c>
      <c r="Z49" s="345">
        <f>IF($W49=$F$16,$O$63,0)</f>
        <v/>
      </c>
      <c r="AA49" s="345">
        <f>IF($W49=$F$16,$O$62,0)</f>
        <v/>
      </c>
      <c r="AB49" s="345">
        <f>IF(X49="維持管理・運営期間",$F$56,0)</f>
        <v/>
      </c>
      <c r="AC49" s="346">
        <f>SUM(Y49:Z49,AB49)</f>
        <v/>
      </c>
      <c r="AD49" s="344">
        <f>IF($W49=$F$16,$O$30,0)</f>
        <v/>
      </c>
      <c r="AE49" s="345">
        <f>IF($X49="維持管理・運営期間",$O$41,0)</f>
        <v/>
      </c>
      <c r="AF49" s="345">
        <f>IF(AND($W49&gt;0,$W49&lt;=$O$16),$E$45,0)</f>
        <v/>
      </c>
      <c r="AG49" s="396">
        <f>IF(AND(SUM($AA$16:AA48)&gt;0,SUM($AG$16:AG48)&lt;$O$62,$W49&gt;=$O$65),$O$64,0)</f>
        <v/>
      </c>
      <c r="AH49" s="353">
        <f>IF(SUM($AA$17:$AA48)&gt;0,($O$62-SUM($AG$17:$AG48))*$E$65,0)</f>
        <v/>
      </c>
      <c r="AI49" s="346">
        <f>SUM(AD49:AF49)</f>
        <v/>
      </c>
      <c r="AJ49" s="351">
        <f>AC49-AI49</f>
        <v/>
      </c>
      <c r="AK49" s="338">
        <f>(SUM($P$31,$P$51)-SUM($AU$17:AU48))*$O$109</f>
        <v/>
      </c>
      <c r="AL49" s="348" t="n"/>
      <c r="AM49" s="352">
        <f>AJ49*$BF49</f>
        <v/>
      </c>
      <c r="AN49" s="349" t="n"/>
      <c r="AO49" s="350">
        <f>IF($W49=$F$16,$P$61,0)</f>
        <v/>
      </c>
      <c r="AP49" s="351">
        <f>IF($W49=$F$16,$P$63,0)</f>
        <v/>
      </c>
      <c r="AQ49" s="351">
        <f>IF($W49=$F$16,$P$62,0)</f>
        <v/>
      </c>
      <c r="AR49" s="345">
        <f>IF($W49&lt;$O$16,IF(W49=$F$16,$U$92,$U$93),0)</f>
        <v/>
      </c>
      <c r="AS49" s="346">
        <f>SUM(AO49:AP49,AR49)</f>
        <v/>
      </c>
      <c r="AT49" s="345">
        <f>IF(W49=$F$16,$P$30,0)</f>
        <v/>
      </c>
      <c r="AU49" s="345">
        <f>IFERROR(-PPMT($P$36,W49-$F$16,$F$17,SUM(P$31,P$51)),0)</f>
        <v/>
      </c>
      <c r="AV49" s="345">
        <f>IFERROR(-IPMT($P$36,W49-$F$16,$F$17,SUM($P$31,$P$51)),0)</f>
        <v/>
      </c>
      <c r="AW49" s="345">
        <f>IF(AND(W49&gt;$F$16,W49&lt;=SUM($F$16:$F$17)),$P$43,0)</f>
        <v/>
      </c>
      <c r="AX49" s="424">
        <f>IF($W49=1,$F$44,0)+IF(AND($W49&gt;0,$W49&lt;=$O$16),$F$45,0)</f>
        <v/>
      </c>
      <c r="AY49" s="425">
        <f>IF(AND(W49&gt;$F$16,W49&lt;=SUM($F$16:$F$17)),$P$54,0)</f>
        <v/>
      </c>
      <c r="AZ49" s="424">
        <f>IF(AND(SUM($AQ$16:AQ48)&gt;0,SUM($AZ$16:AZ48)&lt;$P$62,$W49&gt;=$P$65),$P$64,0)</f>
        <v/>
      </c>
      <c r="BA49" s="345">
        <f>IF(SUM($AQ$17:$AQ48)&gt;0,($P$62-SUM($AZ$17:$AZ48))*$F$65,0)</f>
        <v/>
      </c>
      <c r="BB49" s="346">
        <f>SUM(AT49:AY49)</f>
        <v/>
      </c>
      <c r="BC49" s="351">
        <f>AS49-BB49</f>
        <v/>
      </c>
      <c r="BD49" s="352">
        <f>BC49*$BF49</f>
        <v/>
      </c>
      <c r="BE49" s="393" t="n"/>
      <c r="BF49" s="47">
        <f>BF48/(1+$O$22)</f>
        <v/>
      </c>
      <c r="BH49" s="350">
        <f>AT49</f>
        <v/>
      </c>
      <c r="BI49" s="350">
        <f>AU49</f>
        <v/>
      </c>
      <c r="BJ49" s="351">
        <f>AV49</f>
        <v/>
      </c>
      <c r="BK49" s="351">
        <f>AW49</f>
        <v/>
      </c>
      <c r="BL49" s="351">
        <f>AY49</f>
        <v/>
      </c>
      <c r="BM49" s="345">
        <f>IF($W49&gt;$F$16,$F$56,0)</f>
        <v/>
      </c>
      <c r="BN49" s="346">
        <f>SUM(BH49:BM49)</f>
        <v/>
      </c>
      <c r="BO49" s="351">
        <f>IF($W49=$F$16,$P$32,0)</f>
        <v/>
      </c>
      <c r="BP49" s="351">
        <f>IF(AND(W49&gt;$F$16,W49&lt;=SUM($F$16:$F$17)),$P$41,0)</f>
        <v/>
      </c>
      <c r="BQ49" s="351">
        <f>IFERROR(-IPMT($P$67,W49-$F$16,$F$17,SUM(P$31,P$51)),0)</f>
        <v/>
      </c>
      <c r="BR49" s="351">
        <f>IF($W49&lt;=$O$16,$F$105,0)</f>
        <v/>
      </c>
      <c r="BS49" s="353">
        <f>IF($W49=1,SUM($O$103,$O$105),0)</f>
        <v/>
      </c>
      <c r="BT49" s="351">
        <f t="array" ref="BT49">IF($W49&lt;=$O$16,_xlfn.IFS(W49&lt;$F$16,$P$92,W49=$F$16,$P$93,W49&gt;$F$16,$P$94),0)</f>
        <v/>
      </c>
      <c r="BU49" s="346">
        <f>SUM(BO49:BP49,BR49:BT49)</f>
        <v/>
      </c>
      <c r="BV49" s="346">
        <f>BN49-BU49</f>
        <v/>
      </c>
      <c r="BW49" s="342" t="n"/>
      <c r="BX49" s="338">
        <f>IFERROR(-PPMT($P$67,$W49-$F$16,$F$17,SUM(P$31,P$51)),0)</f>
        <v/>
      </c>
      <c r="BY49" s="356">
        <f>IF(BV49-BX49&gt;=0,0,1)</f>
        <v/>
      </c>
    </row>
    <row r="50" ht="15.75" customHeight="1" s="302" thickBot="1">
      <c r="C50" s="56" t="inlineStr">
        <is>
          <t>競争の効果反映</t>
        </is>
      </c>
      <c r="D50" s="0" t="inlineStr">
        <is>
          <t>％</t>
        </is>
      </c>
      <c r="F50" s="268" t="n">
        <v>0.95</v>
      </c>
      <c r="H50" s="56" t="inlineStr">
        <is>
          <t>*デフォルト値として記載</t>
        </is>
      </c>
      <c r="M50" s="0" t="inlineStr">
        <is>
          <t>引渡時SPC税金負担</t>
        </is>
      </c>
      <c r="N50" s="19" t="inlineStr">
        <is>
          <t>百万円</t>
        </is>
      </c>
      <c r="O50" s="368" t="n"/>
      <c r="P50" s="369">
        <f>SUM(P82,P86)+P92</f>
        <v/>
      </c>
      <c r="Q50" s="0" t="inlineStr">
        <is>
          <t>引渡時の不動産取得税・登録免許税</t>
        </is>
      </c>
      <c r="V50" s="58">
        <f>IF(W50=1,DATE(YEAR($F$18)+(MONTH($F$18)&gt;=4),4,0),EOMONTH(V49,12))</f>
        <v/>
      </c>
      <c r="W50" s="26" t="n">
        <v>34</v>
      </c>
      <c r="X50" s="282">
        <f>IF(W50&gt;$O$16,"-",IF($W50&lt;=$F$16,"整備期間","維持管理・運営期間"))</f>
        <v/>
      </c>
      <c r="Y50" s="344">
        <f>IF($W50=$F$16,$O$61,0)</f>
        <v/>
      </c>
      <c r="Z50" s="345">
        <f>IF($W50=$F$16,$O$63,0)</f>
        <v/>
      </c>
      <c r="AA50" s="345">
        <f>IF($W50=$F$16,$O$62,0)</f>
        <v/>
      </c>
      <c r="AB50" s="345">
        <f>IF(X50="維持管理・運営期間",$F$56,0)</f>
        <v/>
      </c>
      <c r="AC50" s="346">
        <f>SUM(Y50:Z50,AB50)</f>
        <v/>
      </c>
      <c r="AD50" s="344">
        <f>IF($W50=$F$16,$O$30,0)</f>
        <v/>
      </c>
      <c r="AE50" s="345">
        <f>IF($X50="維持管理・運営期間",$O$41,0)</f>
        <v/>
      </c>
      <c r="AF50" s="345">
        <f>IF(AND($W50&gt;0,$W50&lt;=$O$16),$E$45,0)</f>
        <v/>
      </c>
      <c r="AG50" s="396">
        <f>IF(AND(SUM($AA$16:AA49)&gt;0,SUM($AG$16:AG49)&lt;$O$62,$W50&gt;=$O$65),$O$64,0)</f>
        <v/>
      </c>
      <c r="AH50" s="353">
        <f>IF(SUM($AA$17:$AA49)&gt;0,($O$62-SUM($AG$17:$AG49))*$E$65,0)</f>
        <v/>
      </c>
      <c r="AI50" s="346">
        <f>SUM(AD50:AF50)</f>
        <v/>
      </c>
      <c r="AJ50" s="351">
        <f>AC50-AI50</f>
        <v/>
      </c>
      <c r="AK50" s="338">
        <f>(SUM($P$31,$P$51)-SUM($AU$17:AU49))*$O$109</f>
        <v/>
      </c>
      <c r="AL50" s="348" t="n"/>
      <c r="AM50" s="352">
        <f>AJ50*$BF50</f>
        <v/>
      </c>
      <c r="AN50" s="349" t="n"/>
      <c r="AO50" s="350">
        <f>IF($W50=$F$16,$P$61,0)</f>
        <v/>
      </c>
      <c r="AP50" s="351">
        <f>IF($W50=$F$16,$P$63,0)</f>
        <v/>
      </c>
      <c r="AQ50" s="351">
        <f>IF($W50=$F$16,$P$62,0)</f>
        <v/>
      </c>
      <c r="AR50" s="345">
        <f>IF($W50&lt;$O$16,IF(W50=$F$16,$U$92,$U$93),0)</f>
        <v/>
      </c>
      <c r="AS50" s="346">
        <f>SUM(AO50:AP50,AR50)</f>
        <v/>
      </c>
      <c r="AT50" s="345">
        <f>IF(W50=$F$16,$P$30,0)</f>
        <v/>
      </c>
      <c r="AU50" s="345">
        <f>IFERROR(-PPMT($P$36,W50-$F$16,$F$17,SUM(P$31,P$51)),0)</f>
        <v/>
      </c>
      <c r="AV50" s="345">
        <f>IFERROR(-IPMT($P$36,W50-$F$16,$F$17,SUM($P$31,$P$51)),0)</f>
        <v/>
      </c>
      <c r="AW50" s="345">
        <f>IF(AND(W50&gt;$F$16,W50&lt;=SUM($F$16:$F$17)),$P$43,0)</f>
        <v/>
      </c>
      <c r="AX50" s="424">
        <f>IF($W50=1,$F$44,0)+IF(AND($W50&gt;0,$W50&lt;=$O$16),$F$45,0)</f>
        <v/>
      </c>
      <c r="AY50" s="425">
        <f>IF(AND(W50&gt;$F$16,W50&lt;=SUM($F$16:$F$17)),$P$54,0)</f>
        <v/>
      </c>
      <c r="AZ50" s="424">
        <f>IF(AND(SUM($AQ$16:AQ49)&gt;0,SUM($AZ$16:AZ49)&lt;$P$62,$W50&gt;=$P$65),$P$64,0)</f>
        <v/>
      </c>
      <c r="BA50" s="345">
        <f>IF(SUM($AQ$17:$AQ49)&gt;0,($P$62-SUM($AZ$17:$AZ49))*$F$65,0)</f>
        <v/>
      </c>
      <c r="BB50" s="346">
        <f>SUM(AT50:AY50)</f>
        <v/>
      </c>
      <c r="BC50" s="351">
        <f>AS50-BB50</f>
        <v/>
      </c>
      <c r="BD50" s="352">
        <f>BC50*$BF50</f>
        <v/>
      </c>
      <c r="BE50" s="393" t="n"/>
      <c r="BF50" s="47">
        <f>BF49/(1+$O$22)</f>
        <v/>
      </c>
      <c r="BH50" s="350">
        <f>AT50</f>
        <v/>
      </c>
      <c r="BI50" s="350">
        <f>AU50</f>
        <v/>
      </c>
      <c r="BJ50" s="351">
        <f>AV50</f>
        <v/>
      </c>
      <c r="BK50" s="351">
        <f>AW50</f>
        <v/>
      </c>
      <c r="BL50" s="351">
        <f>AY50</f>
        <v/>
      </c>
      <c r="BM50" s="345">
        <f>IF($W50&gt;$F$16,$F$56,0)</f>
        <v/>
      </c>
      <c r="BN50" s="346">
        <f>SUM(BH50:BM50)</f>
        <v/>
      </c>
      <c r="BO50" s="351">
        <f>IF($W50=$F$16,$P$32,0)</f>
        <v/>
      </c>
      <c r="BP50" s="351">
        <f>IF(AND(W50&gt;$F$16,W50&lt;=SUM($F$16:$F$17)),$P$41,0)</f>
        <v/>
      </c>
      <c r="BQ50" s="351">
        <f>IFERROR(-IPMT($P$67,W50-$F$16,$F$17,SUM(P$31,P$51)),0)</f>
        <v/>
      </c>
      <c r="BR50" s="351">
        <f>IF($W50&lt;=$O$16,$F$105,0)</f>
        <v/>
      </c>
      <c r="BS50" s="353">
        <f>IF($W50=1,SUM($O$103,$O$105),0)</f>
        <v/>
      </c>
      <c r="BT50" s="351">
        <f t="array" ref="BT50">IF($W50&lt;=$O$16,_xlfn.IFS(W50&lt;$F$16,$P$92,W50=$F$16,$P$93,W50&gt;$F$16,$P$94),0)</f>
        <v/>
      </c>
      <c r="BU50" s="346">
        <f>SUM(BO50:BP50,BR50:BT50)</f>
        <v/>
      </c>
      <c r="BV50" s="346">
        <f>BN50-BU50</f>
        <v/>
      </c>
      <c r="BW50" s="342" t="n"/>
      <c r="BX50" s="338">
        <f>IFERROR(-PPMT($P$67,$W50-$F$16,$F$17,SUM(P$31,P$51)),0)</f>
        <v/>
      </c>
      <c r="BY50" s="356">
        <f>IF(BV50-BX50&gt;=0,0,1)</f>
        <v/>
      </c>
    </row>
    <row r="51" ht="15.75" customHeight="1" s="302" thickBot="1">
      <c r="B51" s="56" t="n"/>
      <c r="C51" s="56" t="inlineStr">
        <is>
          <t>民間が実施する場合の削減率（施設整備）</t>
        </is>
      </c>
      <c r="D51" s="0" t="inlineStr">
        <is>
          <t>％</t>
        </is>
      </c>
      <c r="F51" s="199">
        <f>事業費用概算!I32</f>
        <v/>
      </c>
      <c r="K51" s="124" t="inlineStr">
        <is>
          <t>サービス購入費（設立時費用）*サービス購入費に含める場合</t>
        </is>
      </c>
      <c r="L51" s="125" t="n"/>
      <c r="M51" s="125" t="n"/>
      <c r="N51" s="126" t="inlineStr">
        <is>
          <t>百万円</t>
        </is>
      </c>
      <c r="O51" s="370" t="n"/>
      <c r="P51" s="371">
        <f>SUM(P48:P50)*$F$47</f>
        <v/>
      </c>
      <c r="Q51" s="0" t="inlineStr">
        <is>
          <t>割賦元本に加算</t>
        </is>
      </c>
      <c r="V51" s="58">
        <f>IF(W51=1,DATE(YEAR($F$18)+(MONTH($F$18)&gt;=4),4,0),EOMONTH(V50,12))</f>
        <v/>
      </c>
      <c r="W51" s="26" t="n">
        <v>35</v>
      </c>
      <c r="X51" s="282">
        <f>IF(W51&gt;$O$16,"-",IF($W51&lt;=$F$16,"整備期間","維持管理・運営期間"))</f>
        <v/>
      </c>
      <c r="Y51" s="344">
        <f>IF($W51=$F$16,$O$61,0)</f>
        <v/>
      </c>
      <c r="Z51" s="345">
        <f>IF($W51=$F$16,$O$63,0)</f>
        <v/>
      </c>
      <c r="AA51" s="345">
        <f>IF($W51=$F$16,$O$62,0)</f>
        <v/>
      </c>
      <c r="AB51" s="345">
        <f>IF(X51="維持管理・運営期間",$F$56,0)</f>
        <v/>
      </c>
      <c r="AC51" s="346">
        <f>SUM(Y51:Z51,AB51)</f>
        <v/>
      </c>
      <c r="AD51" s="344">
        <f>IF($W51=$F$16,$O$30,0)</f>
        <v/>
      </c>
      <c r="AE51" s="345">
        <f>IF($X51="維持管理・運営期間",$O$41,0)</f>
        <v/>
      </c>
      <c r="AF51" s="345">
        <f>IF(AND($W51&gt;0,$W51&lt;=$O$16),$E$45,0)</f>
        <v/>
      </c>
      <c r="AG51" s="396">
        <f>IF(AND(SUM($AA$16:AA50)&gt;0,SUM($AG$16:AG50)&lt;$O$62,$W51&gt;=$O$65),$O$64,0)</f>
        <v/>
      </c>
      <c r="AH51" s="353">
        <f>IF(SUM($AA$17:$AA50)&gt;0,($O$62-SUM($AG$17:$AG50))*$E$65,0)</f>
        <v/>
      </c>
      <c r="AI51" s="346">
        <f>SUM(AD51:AF51)</f>
        <v/>
      </c>
      <c r="AJ51" s="351">
        <f>AC51-AI51</f>
        <v/>
      </c>
      <c r="AK51" s="338">
        <f>(SUM($P$31,$P$51)-SUM($AU$17:AU50))*$O$109</f>
        <v/>
      </c>
      <c r="AL51" s="348" t="n"/>
      <c r="AM51" s="352">
        <f>AJ51*$BF51</f>
        <v/>
      </c>
      <c r="AN51" s="349" t="n"/>
      <c r="AO51" s="350">
        <f>IF($W51=$F$16,$P$61,0)</f>
        <v/>
      </c>
      <c r="AP51" s="351">
        <f>IF($W51=$F$16,$P$63,0)</f>
        <v/>
      </c>
      <c r="AQ51" s="351">
        <f>IF($W51=$F$16,$P$62,0)</f>
        <v/>
      </c>
      <c r="AR51" s="345">
        <f>IF($W51&lt;$O$16,IF(W51=$F$16,$U$92,$U$93),0)</f>
        <v/>
      </c>
      <c r="AS51" s="346">
        <f>SUM(AO51:AP51,AR51)</f>
        <v/>
      </c>
      <c r="AT51" s="345">
        <f>IF(W51=$F$16,$P$30,0)</f>
        <v/>
      </c>
      <c r="AU51" s="345">
        <f>IFERROR(-PPMT($P$36,W51-$F$16,$F$17,SUM(P$31,P$51)),0)</f>
        <v/>
      </c>
      <c r="AV51" s="345">
        <f>IFERROR(-IPMT($P$36,W51-$F$16,$F$17,SUM($P$31,$P$51)),0)</f>
        <v/>
      </c>
      <c r="AW51" s="345">
        <f>IF(AND(W51&gt;$F$16,W51&lt;=SUM($F$16:$F$17)),$P$43,0)</f>
        <v/>
      </c>
      <c r="AX51" s="424">
        <f>IF($W51=1,$F$44,0)+IF(AND($W51&gt;0,$W51&lt;=$O$16),$F$45,0)</f>
        <v/>
      </c>
      <c r="AY51" s="425">
        <f>IF(AND(W51&gt;$F$16,W51&lt;=SUM($F$16:$F$17)),$P$54,0)</f>
        <v/>
      </c>
      <c r="AZ51" s="424">
        <f>IF(AND(SUM($AQ$16:AQ50)&gt;0,SUM($AZ$16:AZ50)&lt;$P$62,$W51&gt;=$P$65),$P$64,0)</f>
        <v/>
      </c>
      <c r="BA51" s="345">
        <f>IF(SUM($AQ$17:$AQ50)&gt;0,($P$62-SUM($AZ$17:$AZ50))*$F$65,0)</f>
        <v/>
      </c>
      <c r="BB51" s="346">
        <f>SUM(AT51:AY51)</f>
        <v/>
      </c>
      <c r="BC51" s="351">
        <f>AS51-BB51</f>
        <v/>
      </c>
      <c r="BD51" s="352">
        <f>BC51*$BF51</f>
        <v/>
      </c>
      <c r="BE51" s="393" t="n"/>
      <c r="BF51" s="47">
        <f>BF50/(1+$O$22)</f>
        <v/>
      </c>
      <c r="BH51" s="350">
        <f>AT51</f>
        <v/>
      </c>
      <c r="BI51" s="350">
        <f>AU51</f>
        <v/>
      </c>
      <c r="BJ51" s="351">
        <f>AV51</f>
        <v/>
      </c>
      <c r="BK51" s="351">
        <f>AW51</f>
        <v/>
      </c>
      <c r="BL51" s="351">
        <f>AY51</f>
        <v/>
      </c>
      <c r="BM51" s="345">
        <f>IF($W51&gt;$F$16,$F$56,0)</f>
        <v/>
      </c>
      <c r="BN51" s="346">
        <f>SUM(BH51:BM51)</f>
        <v/>
      </c>
      <c r="BO51" s="351">
        <f>IF($W51=$F$16,$P$32,0)</f>
        <v/>
      </c>
      <c r="BP51" s="351">
        <f>IF(AND(W51&gt;$F$16,W51&lt;=SUM($F$16:$F$17)),$P$41,0)</f>
        <v/>
      </c>
      <c r="BQ51" s="351">
        <f>IFERROR(-IPMT($P$67,W51-$F$16,$F$17,SUM(P$31,P$51)),0)</f>
        <v/>
      </c>
      <c r="BR51" s="351">
        <f>IF($W51&lt;=$O$16,$F$105,0)</f>
        <v/>
      </c>
      <c r="BS51" s="353">
        <f>IF($W51=1,SUM($O$103,$O$105),0)</f>
        <v/>
      </c>
      <c r="BT51" s="351">
        <f t="array" ref="BT51">IF($W51&lt;=$O$16,_xlfn.IFS(W51&lt;$F$16,$P$92,W51=$F$16,$P$93,W51&gt;$F$16,$P$94),0)</f>
        <v/>
      </c>
      <c r="BU51" s="346">
        <f>SUM(BO51:BP51,BR51:BT51)</f>
        <v/>
      </c>
      <c r="BV51" s="346">
        <f>BN51-BU51</f>
        <v/>
      </c>
      <c r="BW51" s="342" t="n"/>
      <c r="BX51" s="338">
        <f>IFERROR(-PPMT($P$67,$W51-$F$16,$F$17,SUM(P$31,P$51)),0)</f>
        <v/>
      </c>
      <c r="BY51" s="356">
        <f>IF(BV51-BX51&gt;=0,0,1)</f>
        <v/>
      </c>
    </row>
    <row r="52" ht="15.75" customHeight="1" s="302">
      <c r="B52" s="56" t="n"/>
      <c r="C52" s="56" t="inlineStr">
        <is>
          <t>民間が実施する場合の削減率（維持管理運営）</t>
        </is>
      </c>
      <c r="D52" s="0" t="inlineStr">
        <is>
          <t>％</t>
        </is>
      </c>
      <c r="F52" s="199">
        <f>事業費用概算!I33</f>
        <v/>
      </c>
      <c r="M52" s="0" t="inlineStr">
        <is>
          <t>SPC経費　年額</t>
        </is>
      </c>
      <c r="N52" s="19" t="inlineStr">
        <is>
          <t>百万円</t>
        </is>
      </c>
      <c r="O52" s="372" t="n"/>
      <c r="P52" s="373">
        <f>F105</f>
        <v/>
      </c>
      <c r="V52" s="58">
        <f>IF(W52=1,DATE(YEAR($F$18)+(MONTH($F$18)&gt;=4),4,0),EOMONTH(V51,12))</f>
        <v/>
      </c>
      <c r="W52" s="26" t="n">
        <v>36</v>
      </c>
      <c r="X52" s="282">
        <f>IF(W52&gt;$O$16,"-",IF($W52&lt;=$F$16,"整備期間","維持管理・運営期間"))</f>
        <v/>
      </c>
      <c r="Y52" s="344">
        <f>IF($W52=$F$16,$O$61,0)</f>
        <v/>
      </c>
      <c r="Z52" s="345">
        <f>IF($W52=$F$16,$O$63,0)</f>
        <v/>
      </c>
      <c r="AA52" s="345">
        <f>IF($W52=$F$16,$O$62,0)</f>
        <v/>
      </c>
      <c r="AB52" s="345">
        <f>IF(X52="維持管理・運営期間",$F$56,0)</f>
        <v/>
      </c>
      <c r="AC52" s="346">
        <f>SUM(Y52:Z52,AB52)</f>
        <v/>
      </c>
      <c r="AD52" s="344">
        <f>IF($W52=$F$16,$O$30,0)</f>
        <v/>
      </c>
      <c r="AE52" s="345">
        <f>IF($X52="維持管理・運営期間",$O$41,0)</f>
        <v/>
      </c>
      <c r="AF52" s="345">
        <f>IF(AND($W52&gt;0,$W52&lt;=$O$16),$E$45,0)</f>
        <v/>
      </c>
      <c r="AG52" s="396">
        <f>IF(AND(SUM($AA$16:AA51)&gt;0,SUM($AG$16:AG51)&lt;$O$62,$W52&gt;=$O$65),$O$64,0)</f>
        <v/>
      </c>
      <c r="AH52" s="353">
        <f>IF(SUM($AA$17:$AA51)&gt;0,($O$62-SUM($AG$17:$AG51))*$E$65,0)</f>
        <v/>
      </c>
      <c r="AI52" s="346">
        <f>SUM(AD52:AF52)</f>
        <v/>
      </c>
      <c r="AJ52" s="351">
        <f>AC52-AI52</f>
        <v/>
      </c>
      <c r="AK52" s="338">
        <f>(SUM($P$31,$P$51)-SUM($AU$17:AU51))*$O$109</f>
        <v/>
      </c>
      <c r="AL52" s="348" t="n"/>
      <c r="AM52" s="352">
        <f>AJ52*$BF52</f>
        <v/>
      </c>
      <c r="AN52" s="349" t="n"/>
      <c r="AO52" s="350">
        <f>IF($W52=$F$16,$P$61,0)</f>
        <v/>
      </c>
      <c r="AP52" s="351">
        <f>IF($W52=$F$16,$P$63,0)</f>
        <v/>
      </c>
      <c r="AQ52" s="351">
        <f>IF($W52=$F$16,$P$62,0)</f>
        <v/>
      </c>
      <c r="AR52" s="345">
        <f>IF($W52&lt;$O$16,IF(W52=$F$16,$U$92,$U$93),0)</f>
        <v/>
      </c>
      <c r="AS52" s="346">
        <f>SUM(AO52:AP52,AR52)</f>
        <v/>
      </c>
      <c r="AT52" s="345">
        <f>IF(W52=$F$16,$P$30,0)</f>
        <v/>
      </c>
      <c r="AU52" s="345">
        <f>IFERROR(-PPMT($P$36,W52-$F$16,$F$17,SUM(P$31,P$51)),0)</f>
        <v/>
      </c>
      <c r="AV52" s="345">
        <f>IFERROR(-IPMT($P$36,W52-$F$16,$F$17,SUM($P$31,$P$51)),0)</f>
        <v/>
      </c>
      <c r="AW52" s="345">
        <f>IF(AND(W52&gt;$F$16,W52&lt;=SUM($F$16:$F$17)),$P$43,0)</f>
        <v/>
      </c>
      <c r="AX52" s="424">
        <f>IF($W52=1,$F$44,0)+IF(AND($W52&gt;0,$W52&lt;=$O$16),$F$45,0)</f>
        <v/>
      </c>
      <c r="AY52" s="425">
        <f>IF(AND(W52&gt;$F$16,W52&lt;=SUM($F$16:$F$17)),$P$54,0)</f>
        <v/>
      </c>
      <c r="AZ52" s="424">
        <f>IF(AND(SUM($AQ$16:AQ51)&gt;0,SUM($AZ$16:AZ51)&lt;$P$62,$W52&gt;=$P$65),$P$64,0)</f>
        <v/>
      </c>
      <c r="BA52" s="345">
        <f>IF(SUM($AQ$17:$AQ51)&gt;0,($P$62-SUM($AZ$17:$AZ51))*$F$65,0)</f>
        <v/>
      </c>
      <c r="BB52" s="346">
        <f>SUM(AT52:AY52)</f>
        <v/>
      </c>
      <c r="BC52" s="351">
        <f>AS52-BB52</f>
        <v/>
      </c>
      <c r="BD52" s="352">
        <f>BC52*$BF52</f>
        <v/>
      </c>
      <c r="BE52" s="393" t="n"/>
      <c r="BF52" s="47">
        <f>BF51/(1+$O$22)</f>
        <v/>
      </c>
      <c r="BH52" s="350">
        <f>AT52</f>
        <v/>
      </c>
      <c r="BI52" s="350">
        <f>AU52</f>
        <v/>
      </c>
      <c r="BJ52" s="351">
        <f>AV52</f>
        <v/>
      </c>
      <c r="BK52" s="351">
        <f>AW52</f>
        <v/>
      </c>
      <c r="BL52" s="351">
        <f>AY52</f>
        <v/>
      </c>
      <c r="BM52" s="345">
        <f>IF($W52&gt;$F$16,$F$56,0)</f>
        <v/>
      </c>
      <c r="BN52" s="346">
        <f>SUM(BH52:BM52)</f>
        <v/>
      </c>
      <c r="BO52" s="351">
        <f>IF($W52=$F$16,$P$32,0)</f>
        <v/>
      </c>
      <c r="BP52" s="351">
        <f>IF(AND(W52&gt;$F$16,W52&lt;=SUM($F$16:$F$17)),$P$41,0)</f>
        <v/>
      </c>
      <c r="BQ52" s="351">
        <f>IFERROR(-IPMT($P$67,W52-$F$16,$F$17,SUM(P$31,P$51)),0)</f>
        <v/>
      </c>
      <c r="BR52" s="351">
        <f>IF($W52&lt;=$O$16,$F$105,0)</f>
        <v/>
      </c>
      <c r="BS52" s="353">
        <f>IF($W52=1,SUM($O$103,$O$105),0)</f>
        <v/>
      </c>
      <c r="BT52" s="351">
        <f t="array" ref="BT52">IF($W52&lt;=$O$16,_xlfn.IFS(W52&lt;$F$16,$P$92,W52=$F$16,$P$93,W52&gt;$F$16,$P$94),0)</f>
        <v/>
      </c>
      <c r="BU52" s="346">
        <f>SUM(BO52:BP52,BR52:BT52)</f>
        <v/>
      </c>
      <c r="BV52" s="346">
        <f>BN52-BU52</f>
        <v/>
      </c>
      <c r="BW52" s="342" t="n"/>
      <c r="BX52" s="338">
        <f>IFERROR(-PPMT($P$67,$W52-$F$16,$F$17,SUM(P$31,P$51)),0)</f>
        <v/>
      </c>
      <c r="BY52" s="356">
        <f>IF(BV52-BX52&gt;=0,0,1)</f>
        <v/>
      </c>
    </row>
    <row r="53" ht="15.75" customHeight="1" s="302" thickBot="1">
      <c r="M53" s="0" t="inlineStr">
        <is>
          <t>SPC税金負担</t>
        </is>
      </c>
      <c r="N53" s="19" t="inlineStr">
        <is>
          <t>百万円</t>
        </is>
      </c>
      <c r="O53" s="372" t="n"/>
      <c r="P53" s="426">
        <f>P94</f>
        <v/>
      </c>
      <c r="V53" s="58">
        <f>IF(W53=1,DATE(YEAR($F$18)+(MONTH($F$18)&gt;=4),4,0),EOMONTH(V52,12))</f>
        <v/>
      </c>
      <c r="W53" s="26" t="n">
        <v>37</v>
      </c>
      <c r="X53" s="282">
        <f>IF(W53&gt;$O$16,"-",IF($W53&lt;=$F$16,"整備期間","維持管理・運営期間"))</f>
        <v/>
      </c>
      <c r="Y53" s="344">
        <f>IF($W53=$F$16,$O$61,0)</f>
        <v/>
      </c>
      <c r="Z53" s="345">
        <f>IF($W53=$F$16,$O$63,0)</f>
        <v/>
      </c>
      <c r="AA53" s="345">
        <f>IF($W53=$F$16,$O$62,0)</f>
        <v/>
      </c>
      <c r="AB53" s="345">
        <f>IF(X53="維持管理・運営期間",$F$56,0)</f>
        <v/>
      </c>
      <c r="AC53" s="346">
        <f>SUM(Y53:Z53,AB53)</f>
        <v/>
      </c>
      <c r="AD53" s="344">
        <f>IF($W53=$F$16,$O$30,0)</f>
        <v/>
      </c>
      <c r="AE53" s="345">
        <f>IF($X53="維持管理・運営期間",$O$41,0)</f>
        <v/>
      </c>
      <c r="AF53" s="345">
        <f>IF(AND($W53&gt;0,$W53&lt;=$O$16),$E$45,0)</f>
        <v/>
      </c>
      <c r="AG53" s="396">
        <f>IF(AND(SUM($AA$16:AA52)&gt;0,SUM($AG$16:AG52)&lt;$O$62,$W53&gt;=$O$65),$O$64,0)</f>
        <v/>
      </c>
      <c r="AH53" s="353">
        <f>IF(SUM($AA$17:$AA52)&gt;0,($O$62-SUM($AG$17:$AG52))*$E$65,0)</f>
        <v/>
      </c>
      <c r="AI53" s="346">
        <f>SUM(AD53:AF53)</f>
        <v/>
      </c>
      <c r="AJ53" s="351">
        <f>AC53-AI53</f>
        <v/>
      </c>
      <c r="AK53" s="338">
        <f>(SUM($P$31,$P$51)-SUM($AU$17:AU52))*$O$109</f>
        <v/>
      </c>
      <c r="AL53" s="348" t="n"/>
      <c r="AM53" s="352">
        <f>AJ53*$BF53</f>
        <v/>
      </c>
      <c r="AN53" s="349" t="n"/>
      <c r="AO53" s="350">
        <f>IF($W53=$F$16,$P$61,0)</f>
        <v/>
      </c>
      <c r="AP53" s="351">
        <f>IF($W53=$F$16,$P$63,0)</f>
        <v/>
      </c>
      <c r="AQ53" s="351">
        <f>IF($W53=$F$16,$P$62,0)</f>
        <v/>
      </c>
      <c r="AR53" s="345">
        <f>IF($W53&lt;$O$16,IF(W53=$F$16,$U$92,$U$93),0)</f>
        <v/>
      </c>
      <c r="AS53" s="346">
        <f>SUM(AO53:AP53,AR53)</f>
        <v/>
      </c>
      <c r="AT53" s="345">
        <f>IF(W53=$F$16,$P$30,0)</f>
        <v/>
      </c>
      <c r="AU53" s="345">
        <f>IFERROR(-PPMT($P$36,W53-$F$16,$F$17,SUM(P$31,P$51)),0)</f>
        <v/>
      </c>
      <c r="AV53" s="345">
        <f>IFERROR(-IPMT($P$36,W53-$F$16,$F$17,SUM($P$31,$P$51)),0)</f>
        <v/>
      </c>
      <c r="AW53" s="345">
        <f>IF(AND(W53&gt;$F$16,W53&lt;=SUM($F$16:$F$17)),$P$43,0)</f>
        <v/>
      </c>
      <c r="AX53" s="424">
        <f>IF($W53=1,$F$44,0)+IF(AND($W53&gt;0,$W53&lt;=$O$16),$F$45,0)</f>
        <v/>
      </c>
      <c r="AY53" s="425">
        <f>IF(AND(W53&gt;$F$16,W53&lt;=SUM($F$16:$F$17)),$P$54,0)</f>
        <v/>
      </c>
      <c r="AZ53" s="424">
        <f>IF(AND(SUM($AQ$16:AQ52)&gt;0,SUM($AZ$16:AZ52)&lt;$P$62,$W53&gt;=$P$65),$P$64,0)</f>
        <v/>
      </c>
      <c r="BA53" s="345">
        <f>IF(SUM($AQ$17:$AQ52)&gt;0,($P$62-SUM($AZ$17:$AZ52))*$F$65,0)</f>
        <v/>
      </c>
      <c r="BB53" s="346">
        <f>SUM(AT53:AY53)</f>
        <v/>
      </c>
      <c r="BC53" s="351">
        <f>AS53-BB53</f>
        <v/>
      </c>
      <c r="BD53" s="352">
        <f>BC53*$BF53</f>
        <v/>
      </c>
      <c r="BE53" s="393" t="n"/>
      <c r="BF53" s="47">
        <f>BF52/(1+$O$22)</f>
        <v/>
      </c>
      <c r="BH53" s="350">
        <f>AT53</f>
        <v/>
      </c>
      <c r="BI53" s="350">
        <f>AU53</f>
        <v/>
      </c>
      <c r="BJ53" s="351">
        <f>AV53</f>
        <v/>
      </c>
      <c r="BK53" s="351">
        <f>AW53</f>
        <v/>
      </c>
      <c r="BL53" s="351">
        <f>AY53</f>
        <v/>
      </c>
      <c r="BM53" s="345">
        <f>IF($W53&gt;$F$16,$F$56,0)</f>
        <v/>
      </c>
      <c r="BN53" s="346">
        <f>SUM(BH53:BM53)</f>
        <v/>
      </c>
      <c r="BO53" s="351">
        <f>IF($W53=$F$16,$P$32,0)</f>
        <v/>
      </c>
      <c r="BP53" s="351">
        <f>IF(AND(W53&gt;$F$16,W53&lt;=SUM($F$16:$F$17)),$P$41,0)</f>
        <v/>
      </c>
      <c r="BQ53" s="351">
        <f>IFERROR(-IPMT($P$67,W53-$F$16,$F$17,SUM(P$31,P$51)),0)</f>
        <v/>
      </c>
      <c r="BR53" s="351">
        <f>IF($W53&lt;=$O$16,$F$105,0)</f>
        <v/>
      </c>
      <c r="BS53" s="353">
        <f>IF($W53=1,SUM($O$103,$O$105),0)</f>
        <v/>
      </c>
      <c r="BT53" s="351">
        <f t="array" ref="BT53">IF($W53&lt;=$O$16,_xlfn.IFS(W53&lt;$F$16,$P$92,W53=$F$16,$P$93,W53&gt;$F$16,$P$94),0)</f>
        <v/>
      </c>
      <c r="BU53" s="346">
        <f>SUM(BO53:BP53,BR53:BT53)</f>
        <v/>
      </c>
      <c r="BV53" s="346">
        <f>BN53-BU53</f>
        <v/>
      </c>
      <c r="BW53" s="342" t="n"/>
      <c r="BX53" s="338">
        <f>IFERROR(-PPMT($P$67,$W53-$F$16,$F$17,SUM(P$31,P$51)),0)</f>
        <v/>
      </c>
      <c r="BY53" s="356">
        <f>IF(BV53-BX53&gt;=0,0,1)</f>
        <v/>
      </c>
    </row>
    <row r="54" ht="15.75" customHeight="1" s="302" thickBot="1">
      <c r="A54" s="4" t="inlineStr">
        <is>
          <t>３．事業にかかる収入</t>
        </is>
      </c>
      <c r="K54" s="124" t="inlineStr">
        <is>
          <t>サービス購入費（SPC費用等）年額　*サービス購入費に含める場合</t>
        </is>
      </c>
      <c r="L54" s="125" t="n"/>
      <c r="M54" s="125" t="n"/>
      <c r="N54" s="126" t="inlineStr">
        <is>
          <t>百万円</t>
        </is>
      </c>
      <c r="O54" s="370" t="n"/>
      <c r="P54" s="371">
        <f>SUM(P52:P53)*$F$47</f>
        <v/>
      </c>
      <c r="Q54" s="0" t="inlineStr">
        <is>
          <t>別途サービス購入費として支払</t>
        </is>
      </c>
      <c r="V54" s="58">
        <f>IF(W54=1,DATE(YEAR($F$18)+(MONTH($F$18)&gt;=4),4,0),EOMONTH(V53,12))</f>
        <v/>
      </c>
      <c r="W54" s="26" t="n">
        <v>38</v>
      </c>
      <c r="X54" s="282">
        <f>IF(W54&gt;$O$16,"-",IF($W54&lt;=$F$16,"整備期間","維持管理・運営期間"))</f>
        <v/>
      </c>
      <c r="Y54" s="344">
        <f>IF($W54=$F$16,$O$61,0)</f>
        <v/>
      </c>
      <c r="Z54" s="345">
        <f>IF($W54=$F$16,$O$63,0)</f>
        <v/>
      </c>
      <c r="AA54" s="345">
        <f>IF($W54=$F$16,$O$62,0)</f>
        <v/>
      </c>
      <c r="AB54" s="345">
        <f>IF(X54="維持管理・運営期間",$F$56,0)</f>
        <v/>
      </c>
      <c r="AC54" s="346">
        <f>SUM(Y54:Z54,AB54)</f>
        <v/>
      </c>
      <c r="AD54" s="344">
        <f>IF($W54=$F$16,$O$30,0)</f>
        <v/>
      </c>
      <c r="AE54" s="345">
        <f>IF($X54="維持管理・運営期間",$O$41,0)</f>
        <v/>
      </c>
      <c r="AF54" s="345">
        <f>IF(AND($W54&gt;0,$W54&lt;=$O$16),$E$45,0)</f>
        <v/>
      </c>
      <c r="AG54" s="396">
        <f>IF(AND(SUM($AA$16:AA53)&gt;0,SUM($AG$16:AG53)&lt;$O$62,$W54&gt;=$O$65),$O$64,0)</f>
        <v/>
      </c>
      <c r="AH54" s="353">
        <f>IF(SUM($AA$17:$AA53)&gt;0,($O$62-SUM($AG$17:$AG53))*$E$65,0)</f>
        <v/>
      </c>
      <c r="AI54" s="346">
        <f>SUM(AD54:AF54)</f>
        <v/>
      </c>
      <c r="AJ54" s="351">
        <f>AC54-AI54</f>
        <v/>
      </c>
      <c r="AK54" s="338">
        <f>(SUM($P$31,$P$51)-SUM($AU$17:AU53))*$O$109</f>
        <v/>
      </c>
      <c r="AL54" s="348" t="n"/>
      <c r="AM54" s="352">
        <f>AJ54*$BF54</f>
        <v/>
      </c>
      <c r="AN54" s="349" t="n"/>
      <c r="AO54" s="350">
        <f>IF($W54=$F$16,$P$61,0)</f>
        <v/>
      </c>
      <c r="AP54" s="351">
        <f>IF($W54=$F$16,$P$63,0)</f>
        <v/>
      </c>
      <c r="AQ54" s="351">
        <f>IF($W54=$F$16,$P$62,0)</f>
        <v/>
      </c>
      <c r="AR54" s="345">
        <f>IF($W54&lt;$O$16,IF(W54=$F$16,$U$92,$U$93),0)</f>
        <v/>
      </c>
      <c r="AS54" s="346">
        <f>SUM(AO54:AP54,AR54)</f>
        <v/>
      </c>
      <c r="AT54" s="345">
        <f>IF(W54=$F$16,$P$30,0)</f>
        <v/>
      </c>
      <c r="AU54" s="345">
        <f>IFERROR(-PPMT($P$36,W54-$F$16,$F$17,SUM(P$31,P$51)),0)</f>
        <v/>
      </c>
      <c r="AV54" s="345">
        <f>IFERROR(-IPMT($P$36,W54-$F$16,$F$17,SUM($P$31,$P$51)),0)</f>
        <v/>
      </c>
      <c r="AW54" s="345">
        <f>IF(AND(W54&gt;$F$16,W54&lt;=SUM($F$16:$F$17)),$P$43,0)</f>
        <v/>
      </c>
      <c r="AX54" s="424">
        <f>IF($W54=1,$F$44,0)+IF(AND($W54&gt;0,$W54&lt;=$O$16),$F$45,0)</f>
        <v/>
      </c>
      <c r="AY54" s="425">
        <f>IF(AND(W54&gt;$F$16,W54&lt;=SUM($F$16:$F$17)),$P$54,0)</f>
        <v/>
      </c>
      <c r="AZ54" s="424">
        <f>IF(AND(SUM($AQ$16:AQ53)&gt;0,SUM($AZ$16:AZ53)&lt;$P$62,$W54&gt;=$P$65),$P$64,0)</f>
        <v/>
      </c>
      <c r="BA54" s="345">
        <f>IF(SUM($AQ$17:$AQ53)&gt;0,($P$62-SUM($AZ$17:$AZ53))*$F$65,0)</f>
        <v/>
      </c>
      <c r="BB54" s="346">
        <f>SUM(AT54:AY54)</f>
        <v/>
      </c>
      <c r="BC54" s="351">
        <f>AS54-BB54</f>
        <v/>
      </c>
      <c r="BD54" s="352">
        <f>BC54*$BF54</f>
        <v/>
      </c>
      <c r="BE54" s="393" t="n"/>
      <c r="BF54" s="47">
        <f>BF53/(1+$O$22)</f>
        <v/>
      </c>
      <c r="BH54" s="350">
        <f>AT54</f>
        <v/>
      </c>
      <c r="BI54" s="350">
        <f>AU54</f>
        <v/>
      </c>
      <c r="BJ54" s="351">
        <f>AV54</f>
        <v/>
      </c>
      <c r="BK54" s="351">
        <f>AW54</f>
        <v/>
      </c>
      <c r="BL54" s="351">
        <f>AY54</f>
        <v/>
      </c>
      <c r="BM54" s="345">
        <f>IF($W54&gt;$F$16,$F$56,0)</f>
        <v/>
      </c>
      <c r="BN54" s="346">
        <f>SUM(BH54:BM54)</f>
        <v/>
      </c>
      <c r="BO54" s="351">
        <f>IF($W54=$F$16,$P$32,0)</f>
        <v/>
      </c>
      <c r="BP54" s="351">
        <f>IF(AND(W54&gt;$F$16,W54&lt;=SUM($F$16:$F$17)),$P$41,0)</f>
        <v/>
      </c>
      <c r="BQ54" s="351">
        <f>IFERROR(-IPMT($P$67,W54-$F$16,$F$17,SUM(P$31,P$51)),0)</f>
        <v/>
      </c>
      <c r="BR54" s="351">
        <f>IF($W54&lt;=$O$16,$F$105,0)</f>
        <v/>
      </c>
      <c r="BS54" s="353">
        <f>IF($W54=1,SUM($O$103,$O$105),0)</f>
        <v/>
      </c>
      <c r="BT54" s="351">
        <f t="array" ref="BT54">IF($W54&lt;=$O$16,_xlfn.IFS(W54&lt;$F$16,$P$92,W54=$F$16,$P$93,W54&gt;$F$16,$P$94),0)</f>
        <v/>
      </c>
      <c r="BU54" s="346">
        <f>SUM(BO54:BP54,BR54:BT54)</f>
        <v/>
      </c>
      <c r="BV54" s="346">
        <f>BN54-BU54</f>
        <v/>
      </c>
      <c r="BW54" s="342" t="n"/>
      <c r="BX54" s="338">
        <f>IFERROR(-PPMT($P$67,$W54-$F$16,$F$17,SUM(P$31,P$51)),0)</f>
        <v/>
      </c>
      <c r="BY54" s="356">
        <f>IF(BV54-BX54&gt;=0,0,1)</f>
        <v/>
      </c>
    </row>
    <row r="55" ht="15.75" customHeight="1" s="302">
      <c r="V55" s="58">
        <f>IF(W55=1,DATE(YEAR($F$18)+(MONTH($F$18)&gt;=4),4,0),EOMONTH(V54,12))</f>
        <v/>
      </c>
      <c r="W55" s="26" t="n">
        <v>39</v>
      </c>
      <c r="X55" s="282">
        <f>IF(W55&gt;$O$16,"-",IF($W55&lt;=$F$16,"整備期間","維持管理・運営期間"))</f>
        <v/>
      </c>
      <c r="Y55" s="344">
        <f>IF($W55=$F$16,$O$61,0)</f>
        <v/>
      </c>
      <c r="Z55" s="345">
        <f>IF($W55=$F$16,$O$63,0)</f>
        <v/>
      </c>
      <c r="AA55" s="345">
        <f>IF($W55=$F$16,$O$62,0)</f>
        <v/>
      </c>
      <c r="AB55" s="345">
        <f>IF(X55="維持管理・運営期間",$F$56,0)</f>
        <v/>
      </c>
      <c r="AC55" s="346">
        <f>SUM(Y55:Z55,AB55)</f>
        <v/>
      </c>
      <c r="AD55" s="344">
        <f>IF($W55=$F$16,$O$30,0)</f>
        <v/>
      </c>
      <c r="AE55" s="345">
        <f>IF($X55="維持管理・運営期間",$O$41,0)</f>
        <v/>
      </c>
      <c r="AF55" s="345">
        <f>IF(AND($W55&gt;0,$W55&lt;=$O$16),$E$45,0)</f>
        <v/>
      </c>
      <c r="AG55" s="396">
        <f>IF(AND(SUM($AA$16:AA54)&gt;0,SUM($AG$16:AG54)&lt;$O$62,$W55&gt;=$O$65),$O$64,0)</f>
        <v/>
      </c>
      <c r="AH55" s="353">
        <f>IF(SUM($AA$17:$AA54)&gt;0,($O$62-SUM($AG$17:$AG54))*$E$65,0)</f>
        <v/>
      </c>
      <c r="AI55" s="346">
        <f>SUM(AD55:AF55)</f>
        <v/>
      </c>
      <c r="AJ55" s="351">
        <f>AC55-AI55</f>
        <v/>
      </c>
      <c r="AK55" s="338">
        <f>(SUM($P$31,$P$51)-SUM($AU$17:AU54))*$O$109</f>
        <v/>
      </c>
      <c r="AL55" s="348" t="n"/>
      <c r="AM55" s="352">
        <f>AJ55*$BF55</f>
        <v/>
      </c>
      <c r="AN55" s="349" t="n"/>
      <c r="AO55" s="350">
        <f>IF($W55=$F$16,$P$61,0)</f>
        <v/>
      </c>
      <c r="AP55" s="351">
        <f>IF($W55=$F$16,$P$63,0)</f>
        <v/>
      </c>
      <c r="AQ55" s="351">
        <f>IF($W55=$F$16,$P$62,0)</f>
        <v/>
      </c>
      <c r="AR55" s="345">
        <f>IF($W55&lt;$O$16,IF(W55=$F$16,$U$92,$U$93),0)</f>
        <v/>
      </c>
      <c r="AS55" s="346">
        <f>SUM(AO55:AP55,AR55)</f>
        <v/>
      </c>
      <c r="AT55" s="345">
        <f>IF(W55=$F$16,$P$30,0)</f>
        <v/>
      </c>
      <c r="AU55" s="345">
        <f>IFERROR(-PPMT($P$36,W55-$F$16,$F$17,SUM(P$31,P$51)),0)</f>
        <v/>
      </c>
      <c r="AV55" s="345">
        <f>IFERROR(-IPMT($P$36,W55-$F$16,$F$17,SUM($P$31,$P$51)),0)</f>
        <v/>
      </c>
      <c r="AW55" s="345">
        <f>IF(AND(W55&gt;$F$16,W55&lt;=SUM($F$16:$F$17)),$P$43,0)</f>
        <v/>
      </c>
      <c r="AX55" s="424">
        <f>IF($W55=1,$F$44,0)+IF(AND($W55&gt;0,$W55&lt;=$O$16),$F$45,0)</f>
        <v/>
      </c>
      <c r="AY55" s="425">
        <f>IF(AND(W55&gt;$F$16,W55&lt;=SUM($F$16:$F$17)),$P$54,0)</f>
        <v/>
      </c>
      <c r="AZ55" s="424">
        <f>IF(AND(SUM($AQ$16:AQ54)&gt;0,SUM($AZ$16:AZ54)&lt;$P$62,$W55&gt;=$P$65),$P$64,0)</f>
        <v/>
      </c>
      <c r="BA55" s="345">
        <f>IF(SUM($AQ$17:$AQ54)&gt;0,($P$62-SUM($AZ$17:$AZ54))*$F$65,0)</f>
        <v/>
      </c>
      <c r="BB55" s="346">
        <f>SUM(AT55:AY55)</f>
        <v/>
      </c>
      <c r="BC55" s="351">
        <f>AS55-BB55</f>
        <v/>
      </c>
      <c r="BD55" s="352">
        <f>BC55*$BF55</f>
        <v/>
      </c>
      <c r="BE55" s="393" t="n"/>
      <c r="BF55" s="47">
        <f>BF54/(1+$O$22)</f>
        <v/>
      </c>
      <c r="BH55" s="350">
        <f>AT55</f>
        <v/>
      </c>
      <c r="BI55" s="350">
        <f>AU55</f>
        <v/>
      </c>
      <c r="BJ55" s="351">
        <f>AV55</f>
        <v/>
      </c>
      <c r="BK55" s="351">
        <f>AW55</f>
        <v/>
      </c>
      <c r="BL55" s="351">
        <f>AY55</f>
        <v/>
      </c>
      <c r="BM55" s="345">
        <f>IF($W55&gt;$F$16,$F$56,0)</f>
        <v/>
      </c>
      <c r="BN55" s="346">
        <f>SUM(BH55:BM55)</f>
        <v/>
      </c>
      <c r="BO55" s="351">
        <f>IF($W55=$F$16,$P$32,0)</f>
        <v/>
      </c>
      <c r="BP55" s="351">
        <f>IF(AND(W55&gt;$F$16,W55&lt;=SUM($F$16:$F$17)),$P$41,0)</f>
        <v/>
      </c>
      <c r="BQ55" s="351">
        <f>IFERROR(-IPMT($P$67,W55-$F$16,$F$17,SUM(P$31,P$51)),0)</f>
        <v/>
      </c>
      <c r="BR55" s="351">
        <f>IF($W55&lt;=$O$16,$F$105,0)</f>
        <v/>
      </c>
      <c r="BS55" s="353">
        <f>IF($W55=1,SUM($O$103,$O$105),0)</f>
        <v/>
      </c>
      <c r="BT55" s="351">
        <f t="array" ref="BT55">IF($W55&lt;=$O$16,_xlfn.IFS(W55&lt;$F$16,$P$92,W55=$F$16,$P$93,W55&gt;$F$16,$P$94),0)</f>
        <v/>
      </c>
      <c r="BU55" s="346">
        <f>SUM(BO55:BP55,BR55:BT55)</f>
        <v/>
      </c>
      <c r="BV55" s="346">
        <f>BN55-BU55</f>
        <v/>
      </c>
      <c r="BW55" s="342" t="n"/>
      <c r="BX55" s="338">
        <f>IFERROR(-PPMT($P$67,$W55-$F$16,$F$17,SUM(P$31,P$51)),0)</f>
        <v/>
      </c>
      <c r="BY55" s="356">
        <f>IF(BV55-BX55&gt;=0,0,1)</f>
        <v/>
      </c>
    </row>
    <row r="56" ht="15.75" customHeight="1" s="302">
      <c r="C56" s="56" t="inlineStr">
        <is>
          <t>利用料金収入（百万円、年額）</t>
        </is>
      </c>
      <c r="D56" s="0" t="inlineStr">
        <is>
          <t>百万円</t>
        </is>
      </c>
      <c r="F56" s="333" t="n">
        <v>0</v>
      </c>
      <c r="V56" s="58">
        <f>IF(W56=1,DATE(YEAR($F$18)+(MONTH($F$18)&gt;=4),4,0),EOMONTH(V55,12))</f>
        <v/>
      </c>
      <c r="W56" s="26" t="n">
        <v>40</v>
      </c>
      <c r="X56" s="282">
        <f>IF(W56&gt;$O$16,"-",IF($W56&lt;=$F$16,"整備期間","維持管理・運営期間"))</f>
        <v/>
      </c>
      <c r="Y56" s="344">
        <f>IF($W56=$F$16,$O$61,0)</f>
        <v/>
      </c>
      <c r="Z56" s="345">
        <f>IF($W56=$F$16,$O$63,0)</f>
        <v/>
      </c>
      <c r="AA56" s="345">
        <f>IF($W56=$F$16,$O$62,0)</f>
        <v/>
      </c>
      <c r="AB56" s="345">
        <f>IF(X56="維持管理・運営期間",$F$56,0)</f>
        <v/>
      </c>
      <c r="AC56" s="346">
        <f>SUM(Y56:Z56,AB56)</f>
        <v/>
      </c>
      <c r="AD56" s="344">
        <f>IF($W56=$F$16,$O$30,0)</f>
        <v/>
      </c>
      <c r="AE56" s="345">
        <f>IF($X56="維持管理・運営期間",$O$41,0)</f>
        <v/>
      </c>
      <c r="AF56" s="345">
        <f>IF(AND($W56&gt;0,$W56&lt;=$O$16),$E$45,0)</f>
        <v/>
      </c>
      <c r="AG56" s="396">
        <f>IF(AND(SUM($AA$16:AA55)&gt;0,SUM($AG$16:AG55)&lt;$O$62,$W56&gt;=$O$65),$O$64,0)</f>
        <v/>
      </c>
      <c r="AH56" s="353">
        <f>IF(SUM($AA$17:$AA55)&gt;0,($O$62-SUM($AG$17:$AG55))*$E$65,0)</f>
        <v/>
      </c>
      <c r="AI56" s="346">
        <f>SUM(AD56:AF56)</f>
        <v/>
      </c>
      <c r="AJ56" s="351">
        <f>AC56-AI56</f>
        <v/>
      </c>
      <c r="AK56" s="338">
        <f>(SUM($P$31,$P$51)-SUM($AU$17:AU55))*$O$109</f>
        <v/>
      </c>
      <c r="AL56" s="348" t="n"/>
      <c r="AM56" s="352">
        <f>AJ56*$BF56</f>
        <v/>
      </c>
      <c r="AN56" s="349" t="n"/>
      <c r="AO56" s="350">
        <f>IF($W56=$F$16,$P$61,0)</f>
        <v/>
      </c>
      <c r="AP56" s="351">
        <f>IF($W56=$F$16,$P$63,0)</f>
        <v/>
      </c>
      <c r="AQ56" s="351">
        <f>IF($W56=$F$16,$P$62,0)</f>
        <v/>
      </c>
      <c r="AR56" s="345">
        <f>IF($W56&lt;$O$16,IF(W56=$F$16,$U$92,$U$93),0)</f>
        <v/>
      </c>
      <c r="AS56" s="346">
        <f>SUM(AO56:AP56,AR56)</f>
        <v/>
      </c>
      <c r="AT56" s="345">
        <f>IF(W56=$F$16,$P$30,0)</f>
        <v/>
      </c>
      <c r="AU56" s="345">
        <f>IFERROR(-PPMT($P$36,W56-$F$16,$F$17,SUM(P$31,P$51)),0)</f>
        <v/>
      </c>
      <c r="AV56" s="345">
        <f>IFERROR(-IPMT($P$36,W56-$F$16,$F$17,SUM($P$31,$P$51)),0)</f>
        <v/>
      </c>
      <c r="AW56" s="345">
        <f>IF(AND(W56&gt;$F$16,W56&lt;=SUM($F$16:$F$17)),$P$43,0)</f>
        <v/>
      </c>
      <c r="AX56" s="424">
        <f>IF($W56=1,$F$44,0)+IF(AND($W56&gt;0,$W56&lt;=$O$16),$F$45,0)</f>
        <v/>
      </c>
      <c r="AY56" s="425">
        <f>IF(AND(W56&gt;$F$16,W56&lt;=SUM($F$16:$F$17)),$P$54,0)</f>
        <v/>
      </c>
      <c r="AZ56" s="424">
        <f>IF(AND(SUM($AQ$16:AQ55)&gt;0,SUM($AZ$16:AZ55)&lt;$P$62,$W56&gt;=$P$65),$P$64,0)</f>
        <v/>
      </c>
      <c r="BA56" s="345">
        <f>IF(SUM($AQ$17:$AQ55)&gt;0,($P$62-SUM($AZ$17:$AZ55))*$F$65,0)</f>
        <v/>
      </c>
      <c r="BB56" s="346">
        <f>SUM(AT56:AY56)</f>
        <v/>
      </c>
      <c r="BC56" s="351">
        <f>AS56-BB56</f>
        <v/>
      </c>
      <c r="BD56" s="352">
        <f>BC56*$BF56</f>
        <v/>
      </c>
      <c r="BE56" s="393" t="n"/>
      <c r="BF56" s="47">
        <f>BF55/(1+$O$22)</f>
        <v/>
      </c>
      <c r="BH56" s="350">
        <f>AT56</f>
        <v/>
      </c>
      <c r="BI56" s="350">
        <f>AU56</f>
        <v/>
      </c>
      <c r="BJ56" s="351">
        <f>AV56</f>
        <v/>
      </c>
      <c r="BK56" s="351">
        <f>AW56</f>
        <v/>
      </c>
      <c r="BL56" s="351">
        <f>AY56</f>
        <v/>
      </c>
      <c r="BM56" s="345">
        <f>IF($W56&gt;$F$16,$F$56,0)</f>
        <v/>
      </c>
      <c r="BN56" s="346">
        <f>SUM(BH56:BM56)</f>
        <v/>
      </c>
      <c r="BO56" s="351">
        <f>IF($W56=$F$16,$P$32,0)</f>
        <v/>
      </c>
      <c r="BP56" s="351">
        <f>IF(AND(W56&gt;$F$16,W56&lt;=SUM($F$16:$F$17)),$P$41,0)</f>
        <v/>
      </c>
      <c r="BQ56" s="351">
        <f>IFERROR(-IPMT($P$67,W56-$F$16,$F$17,SUM(P$31,P$51)),0)</f>
        <v/>
      </c>
      <c r="BR56" s="351">
        <f>IF($W56&lt;=$O$16,$F$105,0)</f>
        <v/>
      </c>
      <c r="BS56" s="353">
        <f>IF($W56=1,SUM($O$103,$O$105),0)</f>
        <v/>
      </c>
      <c r="BT56" s="351">
        <f t="array" ref="BT56">IF($W56&lt;=$O$16,_xlfn.IFS(W56&lt;$F$16,$P$92,W56=$F$16,$P$93,W56&gt;$F$16,$P$94),0)</f>
        <v/>
      </c>
      <c r="BU56" s="346">
        <f>SUM(BO56:BP56,BR56:BT56)</f>
        <v/>
      </c>
      <c r="BV56" s="346">
        <f>BN56-BU56</f>
        <v/>
      </c>
      <c r="BW56" s="342" t="n"/>
      <c r="BX56" s="338">
        <f>IFERROR(-PPMT($P$67,$W56-$F$16,$F$17,SUM(P$31,P$51)),0)</f>
        <v/>
      </c>
      <c r="BY56" s="356">
        <f>IF(BV56-BX56&gt;=0,0,1)</f>
        <v/>
      </c>
    </row>
    <row r="57" ht="15.75" customHeight="1" s="302" thickBot="1">
      <c r="Y57" s="374" t="n"/>
      <c r="Z57" s="374" t="n"/>
      <c r="AA57" s="342" t="n"/>
      <c r="AB57" s="342" t="n"/>
      <c r="AC57" s="342" t="n"/>
      <c r="AD57" s="342" t="n"/>
      <c r="AE57" s="342" t="n"/>
      <c r="AF57" s="342" t="n"/>
      <c r="AG57" s="345" t="n"/>
      <c r="AH57" s="345" t="n"/>
      <c r="AI57" s="342" t="n"/>
      <c r="AJ57" s="342" t="n"/>
      <c r="AK57" s="337" t="n"/>
      <c r="AL57" s="337" t="n"/>
      <c r="AM57" s="337" t="n"/>
      <c r="AN57" s="337" t="n"/>
      <c r="AO57" s="337" t="n"/>
      <c r="AP57" s="342" t="n"/>
      <c r="AQ57" s="342" t="n"/>
      <c r="AR57" s="342" t="n"/>
      <c r="AS57" s="342" t="n"/>
      <c r="AT57" s="342" t="n"/>
      <c r="AU57" s="342" t="n"/>
      <c r="AV57" s="342" t="n"/>
      <c r="AW57" s="342" t="n"/>
      <c r="AX57" s="342" t="n"/>
      <c r="AY57" s="342" t="n"/>
      <c r="AZ57" s="342" t="n"/>
      <c r="BA57" s="342" t="n"/>
      <c r="BB57" s="342" t="n"/>
      <c r="BC57" s="342" t="n"/>
      <c r="BD57" s="342" t="n"/>
      <c r="BH57" s="342" t="n"/>
      <c r="BI57" s="342" t="n"/>
      <c r="BJ57" s="342" t="n"/>
      <c r="BK57" s="342" t="n"/>
      <c r="BL57" s="342" t="n"/>
      <c r="BM57" s="342" t="n"/>
      <c r="BN57" s="342" t="n"/>
      <c r="BO57" s="342" t="n"/>
      <c r="BP57" s="342" t="n"/>
      <c r="BQ57" s="342" t="n"/>
      <c r="BR57" s="342" t="n"/>
      <c r="BS57" s="342" t="n"/>
      <c r="BT57" s="342" t="n"/>
      <c r="BU57" s="342" t="n"/>
      <c r="BV57" s="342" t="n"/>
      <c r="BW57" s="342" t="n"/>
      <c r="BX57" s="342" t="n"/>
    </row>
    <row r="58" ht="15.75" customHeight="1" s="302" thickTop="1">
      <c r="A58" s="4" t="inlineStr">
        <is>
          <t>４．事業にかかる資金調達</t>
        </is>
      </c>
      <c r="E58" s="0" t="inlineStr">
        <is>
          <t>PSC</t>
        </is>
      </c>
      <c r="F58" s="0" t="inlineStr">
        <is>
          <t>PFI-LCC</t>
        </is>
      </c>
      <c r="J58" s="4" t="inlineStr">
        <is>
          <t>４．事業にかかる資金調達</t>
        </is>
      </c>
      <c r="X58" s="145" t="inlineStr">
        <is>
          <t>合計</t>
        </is>
      </c>
      <c r="Y58" s="375">
        <f>SUM(Y16:Y56)</f>
        <v/>
      </c>
      <c r="Z58" s="375">
        <f>SUM(Z16:Z56)</f>
        <v/>
      </c>
      <c r="AA58" s="375">
        <f>SUM(AA16:AA56)</f>
        <v/>
      </c>
      <c r="AB58" s="375">
        <f>SUM(AB16:AB56)</f>
        <v/>
      </c>
      <c r="AC58" s="375">
        <f>SUM(AC16:AC56)</f>
        <v/>
      </c>
      <c r="AD58" s="375">
        <f>SUM(AD16:AD56)</f>
        <v/>
      </c>
      <c r="AE58" s="375">
        <f>SUM(AE16:AE56)</f>
        <v/>
      </c>
      <c r="AF58" s="375">
        <f>SUM(AF16:AF56)</f>
        <v/>
      </c>
      <c r="AG58" s="375">
        <f>SUM(AG16:AG56)</f>
        <v/>
      </c>
      <c r="AH58" s="375">
        <f>SUM(AH16:AH56)</f>
        <v/>
      </c>
      <c r="AI58" s="375">
        <f>SUM(AI16:AI56)</f>
        <v/>
      </c>
      <c r="AJ58" s="376">
        <f>SUM(AJ16:AJ56)</f>
        <v/>
      </c>
      <c r="AK58" s="376">
        <f>SUM(AK16:AK56)</f>
        <v/>
      </c>
      <c r="AL58" s="375">
        <f>SUM(AJ58,AL16)</f>
        <v/>
      </c>
      <c r="AM58" s="376">
        <f>SUM(AM16:AM56)</f>
        <v/>
      </c>
      <c r="AN58" s="337" t="n"/>
      <c r="AO58" s="375">
        <f>SUM(AO16:AO56)</f>
        <v/>
      </c>
      <c r="AP58" s="375">
        <f>SUM(AP16:AP56)</f>
        <v/>
      </c>
      <c r="AQ58" s="375">
        <f>SUM(AQ16:AQ56)</f>
        <v/>
      </c>
      <c r="AR58" s="375">
        <f>SUM(AR16:AR56)</f>
        <v/>
      </c>
      <c r="AS58" s="375">
        <f>SUM(AS16:AS56)</f>
        <v/>
      </c>
      <c r="AT58" s="375">
        <f>SUM(AT16:AT56)</f>
        <v/>
      </c>
      <c r="AU58" s="375">
        <f>SUM(AU16:AU56)</f>
        <v/>
      </c>
      <c r="AV58" s="375">
        <f>SUM(AV16:AV56)</f>
        <v/>
      </c>
      <c r="AW58" s="375">
        <f>SUM(AW16:AW56)</f>
        <v/>
      </c>
      <c r="AX58" s="375">
        <f>SUM(AX16:AX56)</f>
        <v/>
      </c>
      <c r="AY58" s="375">
        <f>SUM(AY16:AY56)</f>
        <v/>
      </c>
      <c r="AZ58" s="375">
        <f>SUM(AZ16:AZ56)</f>
        <v/>
      </c>
      <c r="BA58" s="375">
        <f>SUM(BA16:BA56)</f>
        <v/>
      </c>
      <c r="BB58" s="375">
        <f>SUM(BB16:BB56)</f>
        <v/>
      </c>
      <c r="BC58" s="376">
        <f>SUM(BC16:BC56)</f>
        <v/>
      </c>
      <c r="BD58" s="376">
        <f>SUM(BD16:BD56)</f>
        <v/>
      </c>
      <c r="BH58" s="375">
        <f>SUM(BH16:BH56)</f>
        <v/>
      </c>
      <c r="BI58" s="375">
        <f>SUM(BI16:BI56)</f>
        <v/>
      </c>
      <c r="BJ58" s="375">
        <f>SUM(BJ16:BJ56)</f>
        <v/>
      </c>
      <c r="BK58" s="375">
        <f>SUM(BK16:BK56)</f>
        <v/>
      </c>
      <c r="BL58" s="375">
        <f>SUM(BL16:BL56)</f>
        <v/>
      </c>
      <c r="BM58" s="375">
        <f>SUM(BM16:BM56)</f>
        <v/>
      </c>
      <c r="BN58" s="375">
        <f>SUM(BN16:BN56)</f>
        <v/>
      </c>
      <c r="BO58" s="375">
        <f>SUM(BO16:BO56)</f>
        <v/>
      </c>
      <c r="BP58" s="375">
        <f>SUM(BP16:BP56)</f>
        <v/>
      </c>
      <c r="BQ58" s="375">
        <f>SUM(BQ16:BQ56)</f>
        <v/>
      </c>
      <c r="BR58" s="375">
        <f>SUM(BR16:BR56)</f>
        <v/>
      </c>
      <c r="BS58" s="375">
        <f>SUM(BS16:BS56)</f>
        <v/>
      </c>
      <c r="BT58" s="375">
        <f>SUM(BT16:BT56)</f>
        <v/>
      </c>
      <c r="BU58" s="375">
        <f>SUM(BU16:BU56)</f>
        <v/>
      </c>
      <c r="BV58" s="375">
        <f>SUM(BV16:BV56)</f>
        <v/>
      </c>
      <c r="BW58" s="337" t="n"/>
      <c r="BX58" s="377">
        <f>SUM(BX16:BX56)</f>
        <v/>
      </c>
    </row>
    <row r="59" ht="15.75" customHeight="1" s="302">
      <c r="B59" s="0" t="inlineStr">
        <is>
          <t>4.1公共側</t>
        </is>
      </c>
      <c r="C59" s="0" t="inlineStr">
        <is>
          <t>調達必要額</t>
        </is>
      </c>
      <c r="D59" s="0" t="inlineStr">
        <is>
          <t>百万円</t>
        </is>
      </c>
      <c r="E59" s="364">
        <f>O62</f>
        <v/>
      </c>
      <c r="F59" s="364">
        <f>P62</f>
        <v/>
      </c>
      <c r="J59" s="4" t="inlineStr">
        <is>
          <t>4.1公共側</t>
        </is>
      </c>
      <c r="O59" s="0" t="inlineStr">
        <is>
          <t>PSC</t>
        </is>
      </c>
      <c r="P59" s="0" t="inlineStr">
        <is>
          <t>PFI-LCC</t>
        </is>
      </c>
      <c r="V59" s="19" t="n"/>
      <c r="AL59" s="312" t="inlineStr">
        <is>
          <t>収支合計</t>
        </is>
      </c>
    </row>
    <row r="60" ht="15.75" customHeight="1" s="302">
      <c r="C60" s="0" t="inlineStr">
        <is>
          <t>補助金収入（％）</t>
        </is>
      </c>
      <c r="D60" s="0" t="inlineStr">
        <is>
          <t>％</t>
        </is>
      </c>
      <c r="E60" s="141" t="n">
        <v>0.4</v>
      </c>
      <c r="F60" s="141" t="n">
        <v>0.4</v>
      </c>
      <c r="K60" s="0" t="inlineStr">
        <is>
          <t>施設整備費用(インフレ考慮後）</t>
        </is>
      </c>
      <c r="N60" s="19" t="inlineStr">
        <is>
          <t>百万円</t>
        </is>
      </c>
      <c r="O60" s="358">
        <f>O29</f>
        <v/>
      </c>
      <c r="P60" s="358">
        <f>P29</f>
        <v/>
      </c>
      <c r="V60" s="19" t="n"/>
      <c r="AK60" s="312" t="n"/>
      <c r="AL60" s="312" t="inlineStr">
        <is>
          <t>（リスク調整加算後）</t>
        </is>
      </c>
      <c r="AM60" s="312" t="n"/>
      <c r="AN60" s="312" t="n"/>
      <c r="AO60" s="312" t="n"/>
      <c r="BF60" s="312" t="n"/>
    </row>
    <row r="61">
      <c r="C61" s="0" t="inlineStr">
        <is>
          <t>起債への交付金（率）（％）</t>
        </is>
      </c>
      <c r="D61" s="0" t="inlineStr">
        <is>
          <t>％</t>
        </is>
      </c>
      <c r="E61" s="3" t="n">
        <v>0.3</v>
      </c>
      <c r="F61" s="3" t="n">
        <v>0.3</v>
      </c>
      <c r="K61" s="0" t="inlineStr">
        <is>
          <t>補助金</t>
        </is>
      </c>
      <c r="N61" s="19" t="inlineStr">
        <is>
          <t>百万円</t>
        </is>
      </c>
      <c r="O61" s="358">
        <f>O60*$E$60</f>
        <v/>
      </c>
      <c r="P61" s="358">
        <f>P60*$F$60</f>
        <v/>
      </c>
      <c r="V61" s="19" t="n"/>
      <c r="AK61" s="312" t="n"/>
      <c r="AL61" s="312" t="n"/>
      <c r="AM61" s="312" t="n"/>
      <c r="AN61" s="312" t="n"/>
      <c r="AO61" s="312" t="n"/>
      <c r="BF61" s="312" t="n"/>
    </row>
    <row r="62" ht="15.75" customHeight="1" s="302">
      <c r="C62" s="275" t="inlineStr">
        <is>
          <t>起債充当率（％）</t>
        </is>
      </c>
      <c r="D62" s="0" t="inlineStr">
        <is>
          <t>％</t>
        </is>
      </c>
      <c r="E62" s="3" t="n">
        <v>0.75</v>
      </c>
      <c r="F62" s="3" t="n">
        <v>0.75</v>
      </c>
      <c r="J62" s="4" t="n"/>
      <c r="K62" s="0" t="inlineStr">
        <is>
          <t>起債発行額（額）</t>
        </is>
      </c>
      <c r="N62" s="19" t="inlineStr">
        <is>
          <t>百万円</t>
        </is>
      </c>
      <c r="O62" s="358">
        <f>(O60-O61)*$E$62</f>
        <v/>
      </c>
      <c r="P62" s="358">
        <f>(P30-P61)*$F$62</f>
        <v/>
      </c>
      <c r="V62" s="19" t="n"/>
    </row>
    <row r="63" ht="15.75" customHeight="1" s="302">
      <c r="C63" s="0" t="inlineStr">
        <is>
          <t>据置期間</t>
        </is>
      </c>
      <c r="D63" s="0" t="inlineStr">
        <is>
          <t>年</t>
        </is>
      </c>
      <c r="E63" s="333" t="n">
        <v>3</v>
      </c>
      <c r="F63" s="333" t="n">
        <v>3</v>
      </c>
      <c r="K63" s="0" t="inlineStr">
        <is>
          <t>起債への交付金（額）</t>
        </is>
      </c>
      <c r="N63" s="19" t="inlineStr">
        <is>
          <t>百万円</t>
        </is>
      </c>
      <c r="O63" s="358">
        <f>O62*$E$61</f>
        <v/>
      </c>
      <c r="P63" s="358">
        <f>P62*$F$61</f>
        <v/>
      </c>
      <c r="V63" s="19" t="n"/>
    </row>
    <row r="64" ht="15.75" customHeight="1" s="302">
      <c r="C64" s="56" t="inlineStr">
        <is>
          <t>償還期間（年）</t>
        </is>
      </c>
      <c r="D64" s="0" t="inlineStr">
        <is>
          <t>年</t>
        </is>
      </c>
      <c r="E64" s="333" t="n">
        <v>20</v>
      </c>
      <c r="F64" s="333" t="n">
        <v>20</v>
      </c>
      <c r="K64" s="0" t="inlineStr">
        <is>
          <t>起債償還額（年額）</t>
        </is>
      </c>
      <c r="N64" s="19" t="inlineStr">
        <is>
          <t>百万円</t>
        </is>
      </c>
      <c r="O64" s="358">
        <f>O62/$E$64</f>
        <v/>
      </c>
      <c r="P64" s="358">
        <f>P62/$F$64</f>
        <v/>
      </c>
      <c r="V64" s="19" t="n"/>
    </row>
    <row r="65" ht="15.75" customHeight="1" s="302">
      <c r="C65" s="56" t="inlineStr">
        <is>
          <t>地方債利回り（％）</t>
        </is>
      </c>
      <c r="D65" s="0" t="inlineStr">
        <is>
          <t>％</t>
        </is>
      </c>
      <c r="E65" s="378" t="n">
        <v>0.015</v>
      </c>
      <c r="F65" s="378" t="n">
        <v>0.015</v>
      </c>
      <c r="K65" s="0" t="inlineStr">
        <is>
          <t>償還開始時期（第●期）</t>
        </is>
      </c>
      <c r="N65" s="19" t="inlineStr">
        <is>
          <t>期</t>
        </is>
      </c>
      <c r="O65" s="358">
        <f>$F$16+E63+1</f>
        <v/>
      </c>
      <c r="P65" s="358">
        <f>$F$16+F63+1</f>
        <v/>
      </c>
    </row>
    <row r="66" ht="15.75" customHeight="1" s="302">
      <c r="B66" s="0" t="inlineStr">
        <is>
          <t>4.2民間事業者側</t>
        </is>
      </c>
      <c r="C66" s="19" t="n"/>
      <c r="J66" s="4" t="inlineStr">
        <is>
          <t>4.2民間事業者側</t>
        </is>
      </c>
      <c r="P66" s="0" t="inlineStr">
        <is>
          <t>PFI-LCC</t>
        </is>
      </c>
    </row>
    <row r="67" ht="15.75" customHeight="1" s="302">
      <c r="E67" s="0" t="inlineStr">
        <is>
          <t>PSC</t>
        </is>
      </c>
      <c r="F67" s="0" t="inlineStr">
        <is>
          <t>PFI-LCC</t>
        </is>
      </c>
      <c r="K67" s="0" t="inlineStr">
        <is>
          <t>借入金利</t>
        </is>
      </c>
      <c r="O67" s="19" t="n"/>
      <c r="P67" s="110">
        <f>SUM(F69:F70)</f>
        <v/>
      </c>
    </row>
    <row r="68" ht="15.75" customHeight="1" s="302">
      <c r="C68" s="0" t="inlineStr">
        <is>
          <t>調達必要額</t>
        </is>
      </c>
      <c r="D68" s="0" t="inlineStr">
        <is>
          <t>百万円</t>
        </is>
      </c>
      <c r="F68" s="364">
        <f>P31</f>
        <v/>
      </c>
    </row>
    <row r="69" ht="15.75" customHeight="1" s="302">
      <c r="C69" s="0" t="inlineStr">
        <is>
          <t>基準金利</t>
        </is>
      </c>
      <c r="D69" s="0" t="inlineStr">
        <is>
          <t>％</t>
        </is>
      </c>
      <c r="F69" s="294">
        <f>F35</f>
        <v/>
      </c>
      <c r="H69" s="56" t="inlineStr">
        <is>
          <t>*割賦払の基準金利をデフォルト値として参照</t>
        </is>
      </c>
    </row>
    <row r="70" ht="15.75" customHeight="1" s="302">
      <c r="C70" s="0" t="inlineStr">
        <is>
          <t>スプレッド</t>
        </is>
      </c>
      <c r="D70" s="0" t="inlineStr">
        <is>
          <t>％</t>
        </is>
      </c>
      <c r="F70" s="419" t="n">
        <v>0.015</v>
      </c>
    </row>
    <row r="71" ht="15.75" customHeight="1" s="302">
      <c r="C71" s="56" t="inlineStr">
        <is>
          <t>借入金利（％）</t>
        </is>
      </c>
      <c r="D71" s="0" t="inlineStr">
        <is>
          <t>％</t>
        </is>
      </c>
    </row>
    <row r="72" ht="15.75" customHeight="1" s="302">
      <c r="A72" s="4" t="inlineStr">
        <is>
          <t>５．事業に係る税金</t>
        </is>
      </c>
      <c r="J72" s="4" t="inlineStr">
        <is>
          <t>５．事業に係る税金</t>
        </is>
      </c>
      <c r="O72" s="19" t="n"/>
      <c r="P72" s="19" t="n"/>
      <c r="R72" s="4" t="inlineStr">
        <is>
          <t>うち、発注者に納付される税金</t>
        </is>
      </c>
      <c r="S72" s="4" t="n"/>
      <c r="T72" s="4" t="n"/>
    </row>
    <row r="73" ht="15.75" customHeight="1" s="302">
      <c r="C73" s="0" t="inlineStr">
        <is>
          <t>法人税</t>
        </is>
      </c>
      <c r="O73" s="19" t="n"/>
      <c r="P73" s="5" t="inlineStr">
        <is>
          <t>法人税</t>
        </is>
      </c>
      <c r="U73" s="4" t="inlineStr">
        <is>
          <t>（都道府県）事業税</t>
        </is>
      </c>
    </row>
    <row r="74" ht="15.75" customHeight="1" s="302">
      <c r="C74" s="2" t="inlineStr">
        <is>
          <t>法人税課税標準（SPC税引前利敵）</t>
        </is>
      </c>
      <c r="D74" s="0" t="inlineStr">
        <is>
          <t>百万円</t>
        </is>
      </c>
      <c r="F74" s="380" t="n">
        <v>0</v>
      </c>
      <c r="H74" s="0" t="inlineStr">
        <is>
          <t>0をデフォルト値とする</t>
        </is>
      </c>
      <c r="N74" s="0" t="inlineStr">
        <is>
          <t>SPC税引前利益</t>
        </is>
      </c>
      <c r="P74" s="334">
        <f>F74</f>
        <v/>
      </c>
      <c r="S74" s="0" t="inlineStr">
        <is>
          <t>課税標準</t>
        </is>
      </c>
      <c r="T74" s="19" t="inlineStr">
        <is>
          <t>百万円</t>
        </is>
      </c>
      <c r="U74" s="334">
        <f>F90</f>
        <v/>
      </c>
    </row>
    <row r="75" ht="15.75" customHeight="1" s="302">
      <c r="C75" s="2" t="inlineStr">
        <is>
          <t>法人税率</t>
        </is>
      </c>
      <c r="D75" s="0" t="inlineStr">
        <is>
          <t>％</t>
        </is>
      </c>
      <c r="F75" s="395" t="n">
        <v>0.3358</v>
      </c>
      <c r="H75" s="0" t="inlineStr">
        <is>
          <t>実効税率</t>
        </is>
      </c>
      <c r="N75" s="0" t="inlineStr">
        <is>
          <t>税率</t>
        </is>
      </c>
      <c r="P75" s="115">
        <f>F75</f>
        <v/>
      </c>
      <c r="S75" s="0" t="inlineStr">
        <is>
          <t>税率</t>
        </is>
      </c>
      <c r="T75" s="0" t="inlineStr">
        <is>
          <t>％</t>
        </is>
      </c>
      <c r="U75" s="115">
        <f>F91</f>
        <v/>
      </c>
    </row>
    <row r="76" ht="15.75" customHeight="1" s="302">
      <c r="C76" s="0" t="inlineStr">
        <is>
          <t>法人住民税均等割</t>
        </is>
      </c>
      <c r="N76" s="0" t="inlineStr">
        <is>
          <t>税額</t>
        </is>
      </c>
      <c r="O76" s="19" t="inlineStr">
        <is>
          <t>百万円</t>
        </is>
      </c>
      <c r="P76" s="116">
        <f>P74*P75</f>
        <v/>
      </c>
      <c r="S76" s="0" t="inlineStr">
        <is>
          <t>税額</t>
        </is>
      </c>
      <c r="T76" s="19" t="inlineStr">
        <is>
          <t>百万円</t>
        </is>
      </c>
      <c r="U76" s="116">
        <f>U74*U75</f>
        <v/>
      </c>
      <c r="W76" s="113" t="n"/>
    </row>
    <row r="77" ht="15.75" customHeight="1" s="302">
      <c r="C77" s="2" t="inlineStr">
        <is>
          <t>税額</t>
        </is>
      </c>
      <c r="D77" s="0" t="inlineStr">
        <is>
          <t>百万円</t>
        </is>
      </c>
      <c r="F77" s="387" t="n">
        <v>0.18</v>
      </c>
      <c r="H77" s="0" t="inlineStr">
        <is>
          <t>資本金1億円以下、従業員50万人以下</t>
        </is>
      </c>
      <c r="N77" s="0" t="n"/>
      <c r="O77" s="19" t="n"/>
      <c r="P77" s="104" t="inlineStr">
        <is>
          <t>法人住民税均等割</t>
        </is>
      </c>
      <c r="T77" s="19" t="n"/>
      <c r="U77" s="4" t="inlineStr">
        <is>
          <t>（都道府県）法人住民税率</t>
        </is>
      </c>
    </row>
    <row r="78" ht="15.75" customHeight="1" s="302">
      <c r="N78" s="0" t="inlineStr">
        <is>
          <t>税額</t>
        </is>
      </c>
      <c r="O78" s="19" t="inlineStr">
        <is>
          <t>百万円</t>
        </is>
      </c>
      <c r="P78" s="382">
        <f>F77</f>
        <v/>
      </c>
      <c r="S78" s="0" t="inlineStr">
        <is>
          <t>課税標準</t>
        </is>
      </c>
      <c r="T78" s="19" t="inlineStr">
        <is>
          <t>百万円</t>
        </is>
      </c>
      <c r="U78" s="334">
        <f>F93</f>
        <v/>
      </c>
    </row>
    <row r="79" ht="15.75" customHeight="1" s="302">
      <c r="C79" s="0" t="inlineStr">
        <is>
          <t>不動産取得税</t>
        </is>
      </c>
      <c r="O79" s="19" t="n"/>
      <c r="P79" s="104" t="inlineStr">
        <is>
          <t>不動産取得税</t>
        </is>
      </c>
      <c r="S79" s="0" t="inlineStr">
        <is>
          <t>税率</t>
        </is>
      </c>
      <c r="T79" s="0" t="inlineStr">
        <is>
          <t>％</t>
        </is>
      </c>
      <c r="U79" s="115">
        <f>F94</f>
        <v/>
      </c>
    </row>
    <row r="80" ht="15.75" customHeight="1" s="302">
      <c r="C80" s="2" t="inlineStr">
        <is>
          <t>課税標準</t>
        </is>
      </c>
      <c r="D80" s="0" t="inlineStr">
        <is>
          <t>百万円</t>
        </is>
      </c>
      <c r="F80" s="387" t="n">
        <v>2400</v>
      </c>
      <c r="H80" s="72" t="inlineStr">
        <is>
          <t>特例等、税制に応じて入力（施設整備額はP26セル）</t>
        </is>
      </c>
      <c r="N80" s="0" t="inlineStr">
        <is>
          <t>施設整備額</t>
        </is>
      </c>
      <c r="O80" s="19" t="n"/>
      <c r="P80" s="334">
        <f>F80</f>
        <v/>
      </c>
      <c r="S80" s="0" t="inlineStr">
        <is>
          <t>税額</t>
        </is>
      </c>
      <c r="T80" s="19" t="inlineStr">
        <is>
          <t>百万円</t>
        </is>
      </c>
      <c r="U80" s="116">
        <f>U78*U79</f>
        <v/>
      </c>
    </row>
    <row r="81" ht="15.75" customHeight="1" s="302">
      <c r="C81" s="2" t="inlineStr">
        <is>
          <t>税率</t>
        </is>
      </c>
      <c r="D81" s="0" t="inlineStr">
        <is>
          <t>％</t>
        </is>
      </c>
      <c r="F81" s="395" t="n">
        <v>0.04</v>
      </c>
      <c r="H81" s="72" t="inlineStr">
        <is>
          <t>特例等、税制に応じて入力</t>
        </is>
      </c>
      <c r="N81" s="0" t="inlineStr">
        <is>
          <t>税率</t>
        </is>
      </c>
      <c r="O81" s="19" t="n"/>
      <c r="P81" s="115">
        <f>F81</f>
        <v/>
      </c>
      <c r="T81" s="19" t="n"/>
      <c r="U81" s="4" t="inlineStr">
        <is>
          <t>（市町村）法人住民税率</t>
        </is>
      </c>
    </row>
    <row r="82" ht="15.75" customHeight="1" s="302">
      <c r="C82" s="0" t="inlineStr">
        <is>
          <t>固定資産税</t>
        </is>
      </c>
      <c r="N82" s="0" t="inlineStr">
        <is>
          <t>税額</t>
        </is>
      </c>
      <c r="O82" s="19" t="inlineStr">
        <is>
          <t>百万円</t>
        </is>
      </c>
      <c r="P82" s="116">
        <f>P80*P81</f>
        <v/>
      </c>
      <c r="S82" s="0" t="inlineStr">
        <is>
          <t>課税標準</t>
        </is>
      </c>
      <c r="T82" s="19" t="inlineStr">
        <is>
          <t>百万円</t>
        </is>
      </c>
      <c r="U82" s="334">
        <f>F96</f>
        <v/>
      </c>
    </row>
    <row r="83" ht="15.75" customHeight="1" s="302">
      <c r="C83" s="2" t="inlineStr">
        <is>
          <t>課税標準</t>
        </is>
      </c>
      <c r="D83" s="0" t="inlineStr">
        <is>
          <t>百万円</t>
        </is>
      </c>
      <c r="F83" s="387" t="n">
        <v>2400</v>
      </c>
      <c r="H83" s="150" t="inlineStr">
        <is>
          <t>特例等、税制に応じて入力（施設整備額はP26セル）</t>
        </is>
      </c>
      <c r="O83" s="19" t="n"/>
      <c r="P83" s="104" t="inlineStr">
        <is>
          <t>登録免許税</t>
        </is>
      </c>
      <c r="S83" s="0" t="inlineStr">
        <is>
          <t>税率</t>
        </is>
      </c>
      <c r="T83" s="0" t="inlineStr">
        <is>
          <t>％</t>
        </is>
      </c>
      <c r="U83" s="115">
        <f>F97</f>
        <v/>
      </c>
    </row>
    <row r="84">
      <c r="C84" s="2" t="inlineStr">
        <is>
          <t>税率</t>
        </is>
      </c>
      <c r="D84" s="0" t="inlineStr">
        <is>
          <t>％</t>
        </is>
      </c>
      <c r="F84" s="395" t="n">
        <v>0.014</v>
      </c>
      <c r="H84" s="72" t="inlineStr">
        <is>
          <t>特例等、税制に応じて入力</t>
        </is>
      </c>
      <c r="N84" s="0" t="inlineStr">
        <is>
          <t>施設整備額</t>
        </is>
      </c>
      <c r="O84" s="19" t="n"/>
      <c r="P84" s="334">
        <f>F83</f>
        <v/>
      </c>
      <c r="S84" s="0" t="inlineStr">
        <is>
          <t>税額</t>
        </is>
      </c>
      <c r="T84" s="19" t="inlineStr">
        <is>
          <t>百万円</t>
        </is>
      </c>
      <c r="U84" s="116">
        <f>U82*U83</f>
        <v/>
      </c>
    </row>
    <row r="85">
      <c r="C85" s="0" t="inlineStr">
        <is>
          <t>登録免許税</t>
        </is>
      </c>
      <c r="N85" s="0" t="inlineStr">
        <is>
          <t>税率</t>
        </is>
      </c>
      <c r="O85" s="19" t="n"/>
      <c r="P85" s="115">
        <f>F87</f>
        <v/>
      </c>
      <c r="T85" s="19" t="n"/>
    </row>
    <row r="86">
      <c r="C86" s="2" t="inlineStr">
        <is>
          <t>課税標準</t>
        </is>
      </c>
      <c r="D86" s="0" t="inlineStr">
        <is>
          <t>百万円</t>
        </is>
      </c>
      <c r="F86" s="387" t="n">
        <v>2400</v>
      </c>
      <c r="H86" s="150" t="inlineStr">
        <is>
          <t>税制に応じて入力（施設整備額はP26セル）</t>
        </is>
      </c>
      <c r="N86" s="0" t="inlineStr">
        <is>
          <t>税額</t>
        </is>
      </c>
      <c r="O86" s="19" t="inlineStr">
        <is>
          <t>百万円</t>
        </is>
      </c>
      <c r="P86" s="116">
        <f>P84*P85</f>
        <v/>
      </c>
      <c r="S86" s="0" t="inlineStr">
        <is>
          <t>（都道府県）不動産取得税　税額</t>
        </is>
      </c>
      <c r="T86" s="19" t="inlineStr">
        <is>
          <t>百万円</t>
        </is>
      </c>
      <c r="U86" s="118">
        <f>IF($F$13="都道府県",P82,0)</f>
        <v/>
      </c>
    </row>
    <row r="87">
      <c r="C87" s="2" t="inlineStr">
        <is>
          <t>税率</t>
        </is>
      </c>
      <c r="D87" s="0" t="inlineStr">
        <is>
          <t>％</t>
        </is>
      </c>
      <c r="F87" s="395" t="n">
        <v>0.004</v>
      </c>
      <c r="H87" s="72" t="inlineStr">
        <is>
          <t>特例等、税制に応じて入力</t>
        </is>
      </c>
      <c r="N87" s="0" t="n"/>
      <c r="O87" s="19" t="n"/>
      <c r="P87" s="384" t="inlineStr">
        <is>
          <t>固定資産税</t>
        </is>
      </c>
      <c r="S87" s="0" t="inlineStr">
        <is>
          <t>（市町村）固定資産税　税額</t>
        </is>
      </c>
      <c r="T87" s="19" t="inlineStr">
        <is>
          <t>百万円</t>
        </is>
      </c>
      <c r="U87" s="365">
        <f>IF($F$13="市町村",P90,0)</f>
        <v/>
      </c>
    </row>
    <row r="88">
      <c r="C88" s="0" t="inlineStr">
        <is>
          <t>うち、発注者への納付される税金</t>
        </is>
      </c>
      <c r="N88" s="0" t="inlineStr">
        <is>
          <t>施設整備額</t>
        </is>
      </c>
      <c r="O88" s="19" t="n"/>
      <c r="P88" s="334">
        <f>F83</f>
        <v/>
      </c>
    </row>
    <row r="89">
      <c r="C89" s="0" t="inlineStr">
        <is>
          <t>（都道府県）事業税</t>
        </is>
      </c>
      <c r="N89" s="0" t="inlineStr">
        <is>
          <t>税率</t>
        </is>
      </c>
      <c r="O89" s="19" t="n"/>
      <c r="P89" s="115">
        <f>F84</f>
        <v/>
      </c>
    </row>
    <row r="90">
      <c r="C90" s="2" t="inlineStr">
        <is>
          <t>課税標準</t>
        </is>
      </c>
      <c r="D90" s="0" t="inlineStr">
        <is>
          <t>百万円</t>
        </is>
      </c>
      <c r="F90" s="380" t="n">
        <v>0</v>
      </c>
      <c r="H90" s="0" t="inlineStr">
        <is>
          <t>0をデフォルト値とする</t>
        </is>
      </c>
      <c r="N90" s="0" t="inlineStr">
        <is>
          <t>税額</t>
        </is>
      </c>
      <c r="O90" s="19" t="inlineStr">
        <is>
          <t>百万円</t>
        </is>
      </c>
      <c r="P90" s="116">
        <f>P88*P89</f>
        <v/>
      </c>
    </row>
    <row r="91">
      <c r="C91" s="2" t="inlineStr">
        <is>
          <t>税率</t>
        </is>
      </c>
      <c r="D91" s="0" t="inlineStr">
        <is>
          <t>％</t>
        </is>
      </c>
      <c r="F91" s="333" t="n">
        <v>0</v>
      </c>
      <c r="H91" s="0" t="inlineStr">
        <is>
          <t>発注者が都道府県の場合、入力</t>
        </is>
      </c>
      <c r="K91" s="4" t="inlineStr">
        <is>
          <t>法人税等・公租公課</t>
        </is>
      </c>
      <c r="N91" s="0" t="n"/>
      <c r="O91" s="19" t="n"/>
      <c r="R91" s="4" t="inlineStr">
        <is>
          <t>発注者に納付される税金　合計</t>
        </is>
      </c>
      <c r="S91" s="4" t="n"/>
    </row>
    <row r="92">
      <c r="C92" s="0" t="inlineStr">
        <is>
          <t>（都道府県）法人住民税</t>
        </is>
      </c>
      <c r="M92" s="0" t="inlineStr">
        <is>
          <t>整備期間中</t>
        </is>
      </c>
      <c r="N92" s="0" t="inlineStr">
        <is>
          <t>税額</t>
        </is>
      </c>
      <c r="O92" s="19" t="inlineStr">
        <is>
          <t>百万円</t>
        </is>
      </c>
      <c r="P92" s="358">
        <f>P78</f>
        <v/>
      </c>
      <c r="S92" s="0" t="inlineStr">
        <is>
          <t>完工年度のみ</t>
        </is>
      </c>
      <c r="T92" s="19" t="inlineStr">
        <is>
          <t>百万円</t>
        </is>
      </c>
      <c r="U92" s="365">
        <f>SUM(F99,U76,U80,U84,U86:U87)</f>
        <v/>
      </c>
    </row>
    <row r="93">
      <c r="C93" s="2" t="inlineStr">
        <is>
          <t>課税標準</t>
        </is>
      </c>
      <c r="D93" s="0" t="inlineStr">
        <is>
          <t>百万円</t>
        </is>
      </c>
      <c r="F93" s="380" t="n">
        <v>0</v>
      </c>
      <c r="H93" s="0" t="inlineStr">
        <is>
          <t>0をデフォルト値とする</t>
        </is>
      </c>
      <c r="M93" s="0" t="inlineStr">
        <is>
          <t>完工年度のみ</t>
        </is>
      </c>
      <c r="N93" s="0" t="inlineStr">
        <is>
          <t>税額</t>
        </is>
      </c>
      <c r="O93" s="19" t="inlineStr">
        <is>
          <t>百万円</t>
        </is>
      </c>
      <c r="P93" s="358">
        <f>SUM(P76,P78,P82,P86)</f>
        <v/>
      </c>
      <c r="S93" s="0" t="inlineStr">
        <is>
          <t>運営期間中</t>
        </is>
      </c>
      <c r="T93" s="19" t="inlineStr">
        <is>
          <t>百万円</t>
        </is>
      </c>
      <c r="U93" s="365">
        <f>SUM(F100,U76,U80,U84)</f>
        <v/>
      </c>
    </row>
    <row r="94">
      <c r="C94" s="2" t="inlineStr">
        <is>
          <t>税率</t>
        </is>
      </c>
      <c r="D94" s="0" t="inlineStr">
        <is>
          <t>％</t>
        </is>
      </c>
      <c r="F94" s="333" t="n">
        <v>0</v>
      </c>
      <c r="H94" s="0" t="inlineStr">
        <is>
          <t>発注者が都道府県の場合、入力</t>
        </is>
      </c>
      <c r="M94" s="0" t="inlineStr">
        <is>
          <t>運営期間中</t>
        </is>
      </c>
      <c r="N94" s="0" t="inlineStr">
        <is>
          <t>税額</t>
        </is>
      </c>
      <c r="O94" s="19" t="inlineStr">
        <is>
          <t>百万円</t>
        </is>
      </c>
      <c r="P94" s="364">
        <f>SUM(P76,P78,P90)</f>
        <v/>
      </c>
    </row>
    <row r="95">
      <c r="C95" s="56" t="inlineStr">
        <is>
          <t>（市町村）法人住民税</t>
        </is>
      </c>
    </row>
    <row r="96">
      <c r="C96" s="2" t="inlineStr">
        <is>
          <t>課税標準</t>
        </is>
      </c>
      <c r="D96" s="0" t="inlineStr">
        <is>
          <t>百万円</t>
        </is>
      </c>
      <c r="F96" s="380" t="n">
        <v>0</v>
      </c>
      <c r="H96" s="0" t="inlineStr">
        <is>
          <t>0をデフォルト値とする</t>
        </is>
      </c>
    </row>
    <row r="97">
      <c r="C97" s="2" t="inlineStr">
        <is>
          <t>税率</t>
        </is>
      </c>
      <c r="D97" s="0" t="inlineStr">
        <is>
          <t>％</t>
        </is>
      </c>
      <c r="F97" s="333" t="n">
        <v>0</v>
      </c>
      <c r="H97" s="0" t="inlineStr">
        <is>
          <t>発注者が市町村又は東京都の場合、入力</t>
        </is>
      </c>
    </row>
    <row r="99">
      <c r="C99" s="0" t="inlineStr">
        <is>
          <t>任意入力（全額）①　完工年度のみ</t>
        </is>
      </c>
      <c r="D99" s="0" t="inlineStr">
        <is>
          <t>百万円</t>
        </is>
      </c>
      <c r="F99" s="387" t="n"/>
    </row>
    <row r="100">
      <c r="C100" s="0" t="inlineStr">
        <is>
          <t>任意入力（全額）②　運営期間中</t>
        </is>
      </c>
      <c r="D100" s="0" t="inlineStr">
        <is>
          <t>百万円</t>
        </is>
      </c>
      <c r="F100" s="387" t="n"/>
    </row>
    <row r="102">
      <c r="A102" s="4" t="inlineStr">
        <is>
          <t>６．リスク調整</t>
        </is>
      </c>
      <c r="J102" s="4" t="inlineStr">
        <is>
          <t>６.リスク調整額</t>
        </is>
      </c>
      <c r="O102" s="0" t="inlineStr">
        <is>
          <t>PSC</t>
        </is>
      </c>
      <c r="P102" s="0" t="inlineStr">
        <is>
          <t>PFI-LCC</t>
        </is>
      </c>
    </row>
    <row r="103">
      <c r="C103" s="312" t="n"/>
      <c r="D103" s="312" t="n"/>
      <c r="E103" s="312" t="n"/>
      <c r="F103" s="312" t="inlineStr">
        <is>
          <t>リスク調整額</t>
        </is>
      </c>
      <c r="K103" s="0" t="inlineStr">
        <is>
          <t>5.1SPC設立費用</t>
        </is>
      </c>
      <c r="N103" s="19" t="inlineStr">
        <is>
          <t>百万円</t>
        </is>
      </c>
      <c r="O103" s="358">
        <f>F104</f>
        <v/>
      </c>
      <c r="P103" s="362" t="n"/>
    </row>
    <row r="104">
      <c r="C104" s="94" t="inlineStr">
        <is>
          <t>SPC設立費用</t>
        </is>
      </c>
      <c r="D104" s="0" t="inlineStr">
        <is>
          <t>百万円</t>
        </is>
      </c>
      <c r="F104" s="333" t="n">
        <v>100</v>
      </c>
      <c r="K104" s="0" t="inlineStr">
        <is>
          <t>5.2SPC経費</t>
        </is>
      </c>
      <c r="N104" s="19" t="inlineStr">
        <is>
          <t>百万円</t>
        </is>
      </c>
      <c r="O104" s="358">
        <f>F105*O16</f>
        <v/>
      </c>
      <c r="P104" s="362" t="n"/>
    </row>
    <row r="105">
      <c r="C105" s="94" t="inlineStr">
        <is>
          <t>SPC経費（年額）</t>
        </is>
      </c>
      <c r="D105" s="0" t="inlineStr">
        <is>
          <t>百万円</t>
        </is>
      </c>
      <c r="F105" s="333" t="n">
        <v>12</v>
      </c>
      <c r="K105" s="0" t="inlineStr">
        <is>
          <t>5.3SPC予備費</t>
        </is>
      </c>
      <c r="N105" s="19" t="inlineStr">
        <is>
          <t>百万円</t>
        </is>
      </c>
      <c r="O105" s="358">
        <f>F106</f>
        <v/>
      </c>
      <c r="P105" s="362" t="n"/>
    </row>
    <row r="106">
      <c r="C106" s="94" t="inlineStr">
        <is>
          <t>SPC予備費</t>
        </is>
      </c>
      <c r="D106" s="0" t="inlineStr">
        <is>
          <t>百万円</t>
        </is>
      </c>
      <c r="F106" s="333" t="n">
        <v>100</v>
      </c>
      <c r="K106" s="0" t="inlineStr">
        <is>
          <t>5.4官民での利払い費用の差</t>
        </is>
      </c>
    </row>
    <row r="107">
      <c r="C107" s="94" t="n"/>
      <c r="M107" s="0" t="inlineStr">
        <is>
          <t>公共の調達金利（地方債）</t>
        </is>
      </c>
      <c r="N107" s="19" t="inlineStr">
        <is>
          <t>％</t>
        </is>
      </c>
      <c r="O107" s="390">
        <f>F65</f>
        <v/>
      </c>
      <c r="P107" s="362" t="n"/>
    </row>
    <row r="108">
      <c r="C108" s="94" t="n"/>
      <c r="M108" s="0" t="inlineStr">
        <is>
          <t>民間の借入金利</t>
        </is>
      </c>
      <c r="N108" s="19" t="inlineStr">
        <is>
          <t>％</t>
        </is>
      </c>
      <c r="O108" s="391">
        <f>P67</f>
        <v/>
      </c>
      <c r="P108" s="362" t="n"/>
    </row>
    <row r="109">
      <c r="C109" s="94" t="n"/>
      <c r="M109" s="0" t="inlineStr">
        <is>
          <t>官民での利払い差（レート）</t>
        </is>
      </c>
      <c r="N109" s="19" t="inlineStr">
        <is>
          <t>％</t>
        </is>
      </c>
      <c r="O109" s="390">
        <f>O108-O107</f>
        <v/>
      </c>
      <c r="P109" s="362" t="n"/>
    </row>
    <row r="110">
      <c r="C110" s="94" t="n"/>
      <c r="M110" s="392" t="inlineStr">
        <is>
          <t>官民利払い費の差</t>
        </is>
      </c>
      <c r="N110" s="0" t="inlineStr">
        <is>
          <t>百万円</t>
        </is>
      </c>
      <c r="O110" s="358">
        <f>SUM(AK17:AK46)</f>
        <v/>
      </c>
      <c r="P110" s="362" t="n"/>
    </row>
    <row r="112" ht="15" customFormat="1" customHeight="1" s="264" thickBot="1">
      <c r="B112" s="264" t="inlineStr">
        <is>
          <t>END OF WORKSHEET</t>
        </is>
      </c>
      <c r="I112" s="265" t="n"/>
    </row>
    <row r="113" hidden="1" ht="19" customHeight="1" s="302" thickTop="1"/>
  </sheetData>
  <dataValidations count="2">
    <dataValidation sqref="F13" showDropDown="0" showInputMessage="1" showErrorMessage="1" allowBlank="0" type="list">
      <formula1>$O$13:$Q$13</formula1>
    </dataValidation>
    <dataValidation sqref="F47" showDropDown="0" showInputMessage="1" showErrorMessage="1" allowBlank="0" type="list">
      <formula1>$G$47:$G$48</formula1>
    </dataValidation>
  </dataValidations>
  <pageMargins left="0.2362204724409449" right="0.2362204724409449" top="0.7480314960629921" bottom="0.7480314960629921" header="0.3149606299212598" footer="0.3149606299212598"/>
  <pageSetup orientation="landscape" paperSize="8" scale="41" fitToWidth="0"/>
  <colBreaks count="2" manualBreakCount="2">
    <brk id="21" min="0" max="1048575" man="1"/>
    <brk id="58" min="0" max="1048575" man="1"/>
  </colBreaks>
</worksheet>
</file>

<file path=xl/worksheets/sheet8.xml><?xml version="1.0" encoding="utf-8"?>
<worksheet xmlns="http://schemas.openxmlformats.org/spreadsheetml/2006/main">
  <sheetPr>
    <tabColor rgb="FFFF0000"/>
    <outlinePr summaryBelow="1" summaryRight="1"/>
    <pageSetUpPr fitToPage="1"/>
  </sheetPr>
  <dimension ref="A3:AJ39"/>
  <sheetViews>
    <sheetView showGridLines="0" zoomScale="70" zoomScaleNormal="70" workbookViewId="0">
      <selection activeCell="K19" sqref="K19"/>
    </sheetView>
  </sheetViews>
  <sheetFormatPr baseColWidth="10" defaultColWidth="0" defaultRowHeight="20" zeroHeight="1" outlineLevelCol="0"/>
  <cols>
    <col width="9" customWidth="1" style="74" min="1" max="3"/>
    <col width="12" customWidth="1" style="74" min="4" max="4"/>
    <col width="12.33203125" customWidth="1" style="74" min="5" max="5"/>
    <col width="10.6640625" customWidth="1" style="74" min="6" max="6"/>
    <col width="9" customWidth="1" style="74" min="7" max="8"/>
    <col width="1.6640625" customWidth="1" style="74" min="9" max="9"/>
    <col width="9" customWidth="1" style="74" min="10" max="11"/>
    <col width="1.6640625" customWidth="1" style="74" min="12" max="12"/>
    <col width="9" customWidth="1" style="74" min="13" max="14"/>
    <col width="1.5" customWidth="1" style="74" min="15" max="15"/>
    <col width="9" customWidth="1" style="74" min="16" max="17"/>
    <col width="2.6640625" customWidth="1" style="74" min="18" max="18"/>
    <col width="9" customWidth="1" style="74" min="19" max="24"/>
    <col width="53.1640625" bestFit="1" customWidth="1" style="74" min="25" max="25"/>
    <col width="11.33203125" customWidth="1" style="74" min="26" max="26"/>
    <col width="10.33203125" customWidth="1" style="74" min="27" max="27"/>
    <col width="1.6640625" customWidth="1" style="74" min="28" max="28"/>
    <col width="10.33203125" customWidth="1" style="74" min="29" max="29"/>
    <col width="1.6640625" customWidth="1" style="74" min="30" max="30"/>
    <col width="10.33203125" customWidth="1" style="74" min="31" max="31"/>
    <col width="1.6640625" customWidth="1" style="74" min="32" max="32"/>
    <col width="10.33203125" customWidth="1" style="74" min="33" max="33"/>
    <col width="1.6640625" customWidth="1" style="74" min="34" max="34"/>
    <col width="10.33203125" customWidth="1" style="74" min="35" max="35"/>
    <col width="9" customWidth="1" style="74" min="36" max="36"/>
    <col hidden="1" style="74" min="37" max="49"/>
    <col hidden="1" width="9" customWidth="1" style="74" min="50" max="16384"/>
  </cols>
  <sheetData>
    <row r="1" ht="15" customHeight="1" s="302"/>
    <row r="2" ht="15" customHeight="1" s="302"/>
    <row r="3" ht="33" customFormat="1" customHeight="1" s="76">
      <c r="A3" s="90" t="inlineStr">
        <is>
          <t>VFMの算定結果</t>
        </is>
      </c>
    </row>
    <row r="4" ht="33" customHeight="1" s="302">
      <c r="A4" s="89" t="inlineStr">
        <is>
          <t>算定の前提条件</t>
        </is>
      </c>
      <c r="X4" s="89" t="inlineStr">
        <is>
          <t>算定結果</t>
        </is>
      </c>
    </row>
    <row r="5" ht="33" customHeight="1" s="302">
      <c r="A5" s="89" t="n"/>
      <c r="F5" s="74" t="inlineStr">
        <is>
          <t>単位</t>
        </is>
      </c>
      <c r="X5" s="89" t="n"/>
      <c r="Z5" s="74" t="inlineStr">
        <is>
          <t>単位</t>
        </is>
      </c>
    </row>
    <row r="6">
      <c r="B6" s="75" t="inlineStr">
        <is>
          <t>事業内容</t>
        </is>
      </c>
    </row>
    <row r="7">
      <c r="A7" s="75" t="n"/>
      <c r="B7" s="75" t="n"/>
      <c r="C7" s="75" t="inlineStr">
        <is>
          <t>事業方式</t>
        </is>
      </c>
      <c r="G7" s="427" t="inlineStr">
        <is>
          <t>DB</t>
        </is>
      </c>
      <c r="H7" s="428" t="n"/>
      <c r="J7" s="427" t="n"/>
      <c r="K7" s="428" t="n"/>
      <c r="M7" s="427" t="n"/>
      <c r="N7" s="428" t="n"/>
      <c r="P7" s="427" t="n"/>
      <c r="Q7" s="428" t="n"/>
      <c r="S7" s="427" t="n"/>
      <c r="T7" s="428" t="n"/>
      <c r="AA7" s="189">
        <f>IF(G7="","",G7)</f>
        <v/>
      </c>
      <c r="AC7" s="189">
        <f>IF(J7="","",J7)</f>
        <v/>
      </c>
      <c r="AE7" s="189">
        <f>IF(M7="","",M7)</f>
        <v/>
      </c>
      <c r="AG7" s="189">
        <f>IF(P7="","",P7)</f>
        <v/>
      </c>
      <c r="AI7" s="189">
        <f>IF(S7="","",S7)</f>
        <v/>
      </c>
    </row>
    <row r="8">
      <c r="C8" s="75" t="inlineStr">
        <is>
          <t>事業期間</t>
        </is>
      </c>
      <c r="F8" s="74" t="inlineStr">
        <is>
          <t>年</t>
        </is>
      </c>
      <c r="G8" s="187">
        <f>IFERROR(SUM(G9:G10),"-")</f>
        <v/>
      </c>
      <c r="H8" s="188" t="n"/>
      <c r="J8" s="187">
        <f>IFERROR(SUM(J9:J10),"-")</f>
        <v/>
      </c>
      <c r="K8" s="188" t="n"/>
      <c r="M8" s="187">
        <f>IFERROR(SUM(M9:M10),"-")</f>
        <v/>
      </c>
      <c r="N8" s="188" t="n"/>
      <c r="P8" s="187">
        <f>IFERROR(SUM(P9:P10),"-")</f>
        <v/>
      </c>
      <c r="Q8" s="188" t="n"/>
      <c r="S8" s="187">
        <f>IFERROR(SUM(S9:S10),"-")</f>
        <v/>
      </c>
      <c r="T8" s="188" t="n"/>
      <c r="X8" s="75" t="inlineStr">
        <is>
          <t>PSC（従来手法による財政負担）</t>
        </is>
      </c>
      <c r="Y8" s="75" t="n"/>
      <c r="Z8" s="75" t="n"/>
    </row>
    <row r="9">
      <c r="D9" s="75" t="inlineStr">
        <is>
          <t>整備期間</t>
        </is>
      </c>
      <c r="F9" s="74" t="inlineStr">
        <is>
          <t>年</t>
        </is>
      </c>
      <c r="G9" s="187">
        <f t="array" ref="G9">IFERROR(_xlfn.IFS(G$7="DB",DB!$F16,G$7="BT",BT!$F16,G$7="DBO",DBO!$F16,G$7="BTO",BTO!$F16,G$7="BOT/BOO",BOT・BOO!$F16),"-")</f>
        <v/>
      </c>
      <c r="H9" s="188" t="n"/>
      <c r="J9" s="187">
        <f t="array" ref="J9">IFERROR(_xlfn.IFS(J$7="DB",DB!$F16,J$7="BT",BT!$F16,J$7="DBO",DBO!$F16,J$7="BTO",BTO!$F16,J$7="BOT/BOO",BOT・BOO!$F16),"-")</f>
        <v/>
      </c>
      <c r="K9" s="188" t="n"/>
      <c r="M9" s="187">
        <f t="array" ref="M9">IFERROR(_xlfn.IFS(M$7="DB",DB!$F16,M$7="BT",BT!$F16,M$7="DBO",DBO!$F16,M$7="BTO",BTO!$F16,M$7="BOT/BOO",BOT・BOO!$F16),"-")</f>
        <v/>
      </c>
      <c r="N9" s="188" t="n"/>
      <c r="P9" s="187">
        <f t="array" ref="P9">IFERROR(_xlfn.IFS(P$7="DB",DB!$F16,P$7="BT",BT!$F16,P$7="DBO",DBO!$F16,P$7="BTO",BTO!$F16,P$7="BOT/BOO",BOT・BOO!$F16),"-")</f>
        <v/>
      </c>
      <c r="Q9" s="188" t="n"/>
      <c r="S9" s="187">
        <f t="array" ref="S9">IFERROR(_xlfn.IFS(S$7="DB",DB!$F16,S$7="BT",BT!$F16,S$7="DBO",DBO!$F16,S$7="BTO",BTO!$F16,S$7="BOT/BOO",BOT・BOO!$F16),"-")</f>
        <v/>
      </c>
      <c r="T9" s="188" t="n"/>
      <c r="Y9" s="74" t="inlineStr">
        <is>
          <t>①収支額</t>
        </is>
      </c>
      <c r="Z9" s="74" t="inlineStr">
        <is>
          <t>百万円</t>
        </is>
      </c>
      <c r="AA9" s="429">
        <f t="array" ref="AA9">IFERROR(_xlfn.IFS(G$7="DB",DB!$AJ58,G$7="BT",BT!$AJ58,G$7="DBO",DBO!$AJ58,G$7="BTO",BTO!$AJ58,G$7="BOT/BOO",BOT・BOO!$AJ58),"-")</f>
        <v/>
      </c>
      <c r="AC9" s="429">
        <f t="array" ref="AC9">IFERROR(_xlfn.IFS(J$7="DB",DB!$AJ58,J$7="BT",BT!$AJ58,J$7="DBO",DBO!$AJ58,J$7="BTO",BTO!$AJ58,J$7="BOT/BOO",BOT・BOO!$AJ58),"-")</f>
        <v/>
      </c>
      <c r="AE9" s="429">
        <f t="array" ref="AE9">IFERROR(_xlfn.IFS(M$7="DB",DB!$AJ58,M$7="BT",BT!$AJ58,M$7="DBO",DBO!$AJ58,M$7="BTO",BTO!$AJ58,M$7="BOT/BOO",BOT・BOO!$AJ58),"-")</f>
        <v/>
      </c>
      <c r="AG9" s="429">
        <f t="array" ref="AG9">IFERROR(_xlfn.IFS(P$7="DB",DB!$AJ58,P$7="BT",BT!$AJ58,P$7="DBO",DBO!$AJ58,P$7="BTO",BTO!$AJ58,P$7="BOT/BOO",BOT・BOO!$AJ58),"-")</f>
        <v/>
      </c>
      <c r="AI9" s="429">
        <f t="array" ref="AI9">IFERROR(_xlfn.IFS(S$7="DB",DB!$AJ58,S$7="BT",BT!$AJ58,S$7="DBO",DBO!$AJ58,S$7="BTO",BTO!$AJ58,S$7="BOT/BOO",BOT・BOO!$AJ58),"-")</f>
        <v/>
      </c>
    </row>
    <row r="10">
      <c r="D10" s="75" t="inlineStr">
        <is>
          <t>維持管理・運営期間</t>
        </is>
      </c>
      <c r="F10" s="74" t="inlineStr">
        <is>
          <t>年</t>
        </is>
      </c>
      <c r="G10" s="187">
        <f t="array" ref="G10">IFERROR(_xlfn.IFS(G$7="DB",DB!$F17,G$7="BT",BT!$F17,G$7="DBO",DBO!$F17,G$7="BTO",BTO!$F17,G$7="BOT/BOO",BOT・BOO!$F17),"-")</f>
        <v/>
      </c>
      <c r="H10" s="188" t="n"/>
      <c r="J10" s="187">
        <f t="array" ref="J10">IFERROR(_xlfn.IFS(J$7="DB",DB!$F17,J$7="BT",BT!$F17,J$7="DBO",DBO!$F17,J$7="BTO",BTO!$F17,J$7="BOT/BOO",BOT・BOO!$F17),"-")</f>
        <v/>
      </c>
      <c r="K10" s="188" t="n"/>
      <c r="M10" s="187">
        <f t="array" ref="M10">IFERROR(_xlfn.IFS(M$7="DB",DB!$F17,M$7="BT",BT!$F17,M$7="DBO",DBO!$F17,M$7="BTO",BTO!$F17,M$7="BOT/BOO",BOT・BOO!$F17),"-")</f>
        <v/>
      </c>
      <c r="N10" s="188" t="n"/>
      <c r="P10" s="187">
        <f t="array" ref="P10">IFERROR(_xlfn.IFS(P$7="DB",DB!$F17,P$7="BT",BT!$F17,P$7="DBO",DBO!$F17,P$7="BTO",BTO!$F17,P$7="BOT/BOO",BOT・BOO!$F17),"-")</f>
        <v/>
      </c>
      <c r="Q10" s="188" t="n"/>
      <c r="S10" s="187">
        <f t="array" ref="S10">IFERROR(_xlfn.IFS(S$7="DB",DB!$F17,S$7="BT",BT!$F17,S$7="DBO",DBO!$F17,S$7="BTO",BTO!$F17,S$7="BOT/BOO",BOT・BOO!$F17),"-")</f>
        <v/>
      </c>
      <c r="T10" s="188" t="n"/>
      <c r="Y10" s="74" t="inlineStr">
        <is>
          <t>②収支額（現在価値割引・リスク調整考慮後）</t>
        </is>
      </c>
      <c r="Z10" s="74" t="inlineStr">
        <is>
          <t>百万円</t>
        </is>
      </c>
      <c r="AA10" s="429">
        <f t="array" ref="AA10">IFERROR(_xlfn.IFS(G$7="DB",DB!$AM58,G$7="BT",BT!$AM58,G$7="DBO",DBO!$AM58,G$7="BTO",BTO!$AM58,G$7="BOT/BOO",BOT・BOO!$AM58),"-")</f>
        <v/>
      </c>
      <c r="AC10" s="429">
        <f t="array" ref="AC10">IFERROR(_xlfn.IFS(J$7="DB",DB!$AM58,J$7="BT",BT!$AM58,J$7="DBO",DBO!$AM58,J$7="BTO",BTO!$AM58,J$7="BOT/BOO",BOT・BOO!$AM58),"-")</f>
        <v/>
      </c>
      <c r="AE10" s="429">
        <f t="array" ref="AE10">IFERROR(_xlfn.IFS(M$7="DB",DB!$AM58,M$7="BT",BT!$AM58,M$7="DBO",DBO!$AM58,M$7="BTO",BTO!$AM58,M$7="BOT/BOO",BOT・BOO!$AM58),"-")</f>
        <v/>
      </c>
      <c r="AG10" s="429">
        <f t="array" ref="AG10">IFERROR(_xlfn.IFS(P$7="DB",DB!$AM58,P$7="BT",BT!$AM58,P$7="DBO",DBO!$AM58,P$7="BTO",BTO!$AM58,P$7="BOT/BOO",BOT・BOO!$AM58),"-")</f>
        <v/>
      </c>
      <c r="AI10" s="429">
        <f t="array" ref="AI10">IFERROR(_xlfn.IFS(S$7="DB",DB!$AM58,S$7="BT",BT!$AM58,S$7="DBO",DBO!$AM58,S$7="BTO",BTO!$AM58,S$7="BOT/BOO",BOT・BOO!$AM58),"-")</f>
        <v/>
      </c>
    </row>
    <row r="11">
      <c r="D11" s="75" t="n"/>
      <c r="G11" s="203" t="inlineStr">
        <is>
          <t>PSC</t>
        </is>
      </c>
      <c r="H11" s="203" t="inlineStr">
        <is>
          <t>PFI-LCC</t>
        </is>
      </c>
      <c r="J11" s="203" t="inlineStr">
        <is>
          <t>PSC</t>
        </is>
      </c>
      <c r="K11" s="203" t="inlineStr">
        <is>
          <t>PFI-LCC</t>
        </is>
      </c>
      <c r="M11" s="203" t="inlineStr">
        <is>
          <t>PSC</t>
        </is>
      </c>
      <c r="N11" s="203" t="inlineStr">
        <is>
          <t>PFI-LCC</t>
        </is>
      </c>
      <c r="P11" s="203" t="inlineStr">
        <is>
          <t>PSC</t>
        </is>
      </c>
      <c r="Q11" s="203" t="inlineStr">
        <is>
          <t>PFI-LCC</t>
        </is>
      </c>
      <c r="S11" s="203" t="inlineStr">
        <is>
          <t>PSC</t>
        </is>
      </c>
      <c r="T11" s="203" t="inlineStr">
        <is>
          <t>PFI-LCC</t>
        </is>
      </c>
      <c r="AA11" s="430" t="n"/>
      <c r="AC11" s="430" t="n"/>
      <c r="AE11" s="430" t="n"/>
      <c r="AG11" s="430" t="n"/>
      <c r="AI11" s="430" t="n"/>
    </row>
    <row r="12">
      <c r="C12" s="75" t="inlineStr">
        <is>
          <t>施設整備費見込額</t>
        </is>
      </c>
      <c r="D12" s="75" t="n"/>
      <c r="F12" s="74" t="inlineStr">
        <is>
          <t>百万円</t>
        </is>
      </c>
      <c r="G12" s="142">
        <f t="array" ref="G12">IFERROR(_xlfn.IFS(G$7="DB",DB!$O29,G$7="BT",BT!$O29,G$7="DBO",DBO!$O29,G$7="BTO",BTO!$O29,G$7="BOT/BOO",BOT・BOO!$O29),"-")</f>
        <v/>
      </c>
      <c r="H12" s="142">
        <f t="array" ref="H12">IFERROR(_xlfn.IFS(G$7="DB",DB!$P29,G$7="BT",BT!$P29,G$7="DBO",DBO!$P29,G$7="BTO",BTO!$P29,G$7="BOT/BOO",BOT・BOO!$P29),"-")</f>
        <v/>
      </c>
      <c r="J12" s="142">
        <f t="array" ref="J12">IFERROR(_xlfn.IFS(J$7="DB",DB!$O29,J$7="BT",BT!$O29,J$7="DBO",DBO!$O29,J$7="BTO",BTO!$O29,J$7="BOT/BOO",BOT・BOO!$O29),"-")</f>
        <v/>
      </c>
      <c r="K12" s="142">
        <f t="array" ref="K12">IFERROR(_xlfn.IFS(J$7="DB",DB!$P29,J$7="BT",BT!$P29,J$7="DBO",DBO!$P29,J$7="BTO",BTO!$P29,J$7="BOT/BOO",BOT・BOO!$P29),"-")</f>
        <v/>
      </c>
      <c r="M12" s="142">
        <f t="array" ref="M12">IFERROR(_xlfn.IFS(M$7="DB",DB!$O29,M$7="BT",BT!$O29,M$7="DBO",DBO!$O29,M$7="BTO",BTO!$O29,M$7="BOT/BOO",BOT・BOO!$O29),"-")</f>
        <v/>
      </c>
      <c r="N12" s="142">
        <f t="array" ref="N12">IFERROR(_xlfn.IFS(M$7="DB",DB!$P29,M$7="BT",BT!$P29,M$7="DBO",DBO!$P29,M$7="BTO",BTO!$P29,M$7="BOT/BOO",BOT・BOO!$P29),"-")</f>
        <v/>
      </c>
      <c r="P12" s="142">
        <f t="array" ref="P12">IFERROR(_xlfn.IFS(P$7="DB",DB!$O29,P$7="BT",BT!$O29,P$7="DBO",DBO!$O29,P$7="BTO",BTO!$O29,P$7="BOT/BOO",BOT・BOO!$O29),"-")</f>
        <v/>
      </c>
      <c r="Q12" s="142">
        <f t="array" ref="Q12">IFERROR(_xlfn.IFS(P$7="DB",DB!$P29,P$7="BT",BT!$P29,P$7="DBO",DBO!$P29,P$7="BTO",BTO!$P29,P$7="BOT/BOO",BOT・BOO!$P29),"-")</f>
        <v/>
      </c>
      <c r="S12" s="142">
        <f t="array" ref="S12">IFERROR(_xlfn.IFS(S$7="DB",DB!$O29,S$7="BT",BT!$O29,S$7="DBO",DBO!$O29,S$7="BTO",BTO!$O29,S$7="BOT/BOO",BOT・BOO!$O29),"-")</f>
        <v/>
      </c>
      <c r="T12" s="142">
        <f t="array" ref="T12">IFERROR(_xlfn.IFS(S$7="DB",DB!$P29,S$7="BT",BT!$P29,S$7="DBO",DBO!$P29,S$7="BTO",BTO!$P29,S$7="BOT/BOO",BOT・BOO!$P29),"-")</f>
        <v/>
      </c>
      <c r="U12" s="214" t="inlineStr">
        <is>
          <t>*1</t>
        </is>
      </c>
      <c r="X12" s="75" t="inlineStr">
        <is>
          <t>PFI-LCC（PFI実施による財政負担）</t>
        </is>
      </c>
      <c r="AA12" s="430" t="n"/>
      <c r="AC12" s="430" t="n"/>
      <c r="AE12" s="430" t="n"/>
      <c r="AG12" s="430" t="n"/>
      <c r="AI12" s="430" t="n"/>
    </row>
    <row r="13">
      <c r="C13" s="75" t="inlineStr">
        <is>
          <t>維持管理・運営費見込額</t>
        </is>
      </c>
      <c r="D13" s="75" t="n"/>
      <c r="G13" s="203" t="inlineStr">
        <is>
          <t>PSC</t>
        </is>
      </c>
      <c r="H13" s="203" t="inlineStr">
        <is>
          <t>PFI-LCC</t>
        </is>
      </c>
      <c r="J13" s="203" t="inlineStr">
        <is>
          <t>PSC</t>
        </is>
      </c>
      <c r="K13" s="203" t="inlineStr">
        <is>
          <t>PFI-LCC</t>
        </is>
      </c>
      <c r="M13" s="203" t="inlineStr">
        <is>
          <t>PSC</t>
        </is>
      </c>
      <c r="N13" s="203" t="inlineStr">
        <is>
          <t>PFI-LCC</t>
        </is>
      </c>
      <c r="P13" s="203" t="inlineStr">
        <is>
          <t>PSC</t>
        </is>
      </c>
      <c r="Q13" s="203" t="inlineStr">
        <is>
          <t>PFI-LCC</t>
        </is>
      </c>
      <c r="S13" s="203" t="inlineStr">
        <is>
          <t>PSC</t>
        </is>
      </c>
      <c r="T13" s="203" t="inlineStr">
        <is>
          <t>PFI-LCC</t>
        </is>
      </c>
      <c r="U13" s="214" t="n"/>
      <c r="Y13" s="74" t="inlineStr">
        <is>
          <t>③収支額</t>
        </is>
      </c>
      <c r="Z13" s="74" t="inlineStr">
        <is>
          <t>百万円</t>
        </is>
      </c>
      <c r="AA13" s="429">
        <f t="array" ref="AA13">IFERROR(_xlfn.IFS(G$7="DB",DB!$BC58,G$7="BT",BT!$BC58,G$7="DBO",DBO!$BC58,G$7="BTO",BTO!$BC58,G$7="BOT/BOO",BOT・BOO!$BC58),"-")</f>
        <v/>
      </c>
      <c r="AC13" s="429">
        <f t="array" ref="AC13">IFERROR(_xlfn.IFS(J$7="DB",DB!$BC58,J$7="BT",BT!$BC58,J$7="DBO",DBO!$BC58,J$7="BTO",BTO!$BC58,J$7="BOT/BOO",BOT・BOO!$BC58),"-")</f>
        <v/>
      </c>
      <c r="AE13" s="429">
        <f t="array" ref="AE13">IFERROR(_xlfn.IFS(M$7="DB",DB!$BC58,M$7="BT",BT!$BC58,M$7="DBO",DBO!$BC58,M$7="BTO",BTO!$BC58,M$7="BOT/BOO",BOT・BOO!$BC58),"-")</f>
        <v/>
      </c>
      <c r="AG13" s="429">
        <f t="array" ref="AG13">IFERROR(_xlfn.IFS(P$7="DB",DB!$BC58,P$7="BT",BT!$BC58,P$7="DBO",DBO!$BC58,P$7="BTO",BTO!$BC58,P$7="BOT/BOO",BOT・BOO!$BC58),"-")</f>
        <v/>
      </c>
      <c r="AI13" s="429">
        <f t="array" ref="AI13">IFERROR(_xlfn.IFS(S$7="DB",DB!$BC58,S$7="BT",BT!$BC58,S$7="DBO",DBO!$BC58,S$7="BTO",BTO!$BC58,S$7="BOT/BOO",BOT・BOO!$BC58),"-")</f>
        <v/>
      </c>
      <c r="AJ13" s="431" t="n"/>
    </row>
    <row r="14">
      <c r="C14" s="75" t="n"/>
      <c r="D14" s="75" t="inlineStr">
        <is>
          <t>年額</t>
        </is>
      </c>
      <c r="F14" s="74" t="inlineStr">
        <is>
          <t>百万円</t>
        </is>
      </c>
      <c r="G14" s="432">
        <f t="array" ref="G14">IFERROR(_xlfn.IFS(G$7="DB",DB!$O43,G$7="BT",BT!$O43,G$7="DBO",DBO!$O43,G$7="BTO",BTO!$O43,G$7="BOT/BOO",BOT・BOO!$O43),"-")</f>
        <v/>
      </c>
      <c r="H14" s="432">
        <f t="array" ref="H14">IFERROR(_xlfn.IFS(G$7="DB",DB!$P43,G$7="BT",BT!$P43,G$7="DBO",DBO!$P43,G$7="BTO",BTO!$P43,G$7="BOT/BOO",BOT・BOO!$P43),"-")</f>
        <v/>
      </c>
      <c r="I14" s="433" t="n"/>
      <c r="J14" s="432">
        <f t="array" ref="J14">IFERROR(_xlfn.IFS(J$7="DB",DB!$O43,J$7="BT",BT!$O43,J$7="DBO",DBO!$O43,J$7="BTO",BTO!$O43,J$7="BOT/BOO",BOT・BOO!$O43),"-")</f>
        <v/>
      </c>
      <c r="K14" s="432">
        <f t="array" ref="K14">IFERROR(_xlfn.IFS(J$7="DB",DB!$P43,J$7="BT",BT!$P43,J$7="DBO",DBO!$P43,J$7="BTO",BTO!$P43,J$7="BOT/BOO",BOT・BOO!$P43),"-")</f>
        <v/>
      </c>
      <c r="L14" s="433" t="n"/>
      <c r="M14" s="432">
        <f t="array" ref="M14">IFERROR(_xlfn.IFS(M$7="DB",DB!$O43,M$7="BT",BT!$O43,M$7="DBO",DBO!$O43,M$7="BTO",BTO!$O43,M$7="BOT/BOO",BOT・BOO!$O43),"-")</f>
        <v/>
      </c>
      <c r="N14" s="432">
        <f t="array" ref="N14">IFERROR(_xlfn.IFS(M$7="DB",DB!$P43,M$7="BT",BT!$P43,M$7="DBO",DBO!$P43,M$7="BTO",BTO!$P43,M$7="BOT/BOO",BOT・BOO!$P43),"-")</f>
        <v/>
      </c>
      <c r="O14" s="433" t="n"/>
      <c r="P14" s="432">
        <f t="array" ref="P14">IFERROR(_xlfn.IFS(P$7="DB",DB!$O43,P$7="BT",BT!$O43,P$7="DBO",DBO!$O43,P$7="BTO",BTO!$O43,P$7="BOT/BOO",BOT・BOO!$O43),"-")</f>
        <v/>
      </c>
      <c r="Q14" s="432">
        <f t="array" ref="Q14">IFERROR(_xlfn.IFS(P$7="DB",DB!$P43,P$7="BT",BT!$P43,P$7="DBO",DBO!$P43,P$7="BTO",BTO!$P43,P$7="BOT/BOO",BOT・BOO!$P43),"-")</f>
        <v/>
      </c>
      <c r="R14" s="433" t="n"/>
      <c r="S14" s="432">
        <f t="array" ref="S14">IFERROR(_xlfn.IFS(S$7="DB",DB!$O43,S$7="BT",BT!$O43,S$7="DBO",DBO!$O43,S$7="BTO",BTO!$O43,S$7="BOT/BOO",BOT・BOO!$O43),"-")</f>
        <v/>
      </c>
      <c r="T14" s="432">
        <f t="array" ref="T14">IFERROR(_xlfn.IFS(S$7="DB",DB!$P43,S$7="BT",BT!$P43,S$7="DBO",DBO!$P43,S$7="BTO",BTO!$P43,S$7="BOT/BOO",BOT・BOO!$P43),"-")</f>
        <v/>
      </c>
      <c r="U14" s="214" t="inlineStr">
        <is>
          <t>*1</t>
        </is>
      </c>
      <c r="X14" s="75" t="n"/>
      <c r="Y14" s="74" t="inlineStr">
        <is>
          <t>④収支額（現在価値割引後）</t>
        </is>
      </c>
      <c r="Z14" s="74" t="inlineStr">
        <is>
          <t>百万円</t>
        </is>
      </c>
      <c r="AA14" s="429">
        <f t="array" ref="AA14">IFERROR(_xlfn.IFS(G$7="DB",DB!$BD58,G$7="BT",BT!$BD58,G$7="DBO",DBO!$BD58,G$7="BTO",BTO!$BD58,G$7="BOT/BOO",BOT・BOO!$BD58),"-")</f>
        <v/>
      </c>
      <c r="AC14" s="429">
        <f t="array" ref="AC14">IFERROR(_xlfn.IFS(J$7="DB",DB!$BD58,J$7="BT",BT!$BD58,J$7="DBO",DBO!$BD58,J$7="BTO",BTO!$BD58,J$7="BOT/BOO",BOT・BOO!$BD58),"-")</f>
        <v/>
      </c>
      <c r="AE14" s="429">
        <f t="array" ref="AE14">IFERROR(_xlfn.IFS(M$7="DB",DB!$BD58,M$7="BT",BT!$BD58,M$7="DBO",DBO!$BD58,M$7="BTO",BTO!$BD58,M$7="BOT/BOO",BOT・BOO!$BD58),"-")</f>
        <v/>
      </c>
      <c r="AG14" s="429">
        <f t="array" ref="AG14">IFERROR(_xlfn.IFS(P$7="DB",DB!$BD58,P$7="BT",BT!$BD58,P$7="DBO",DBO!$BD58,P$7="BTO",BTO!$BD58,P$7="BOT/BOO",BOT・BOO!$BD58),"-")</f>
        <v/>
      </c>
      <c r="AI14" s="429">
        <f t="array" ref="AI14">IFERROR(_xlfn.IFS(S$7="DB",DB!$BD58,S$7="BT",BT!$BD58,S$7="DBO",DBO!$BD58,S$7="BTO",BTO!$BD58,S$7="BOT/BOO",BOT・BOO!$BD58),"-")</f>
        <v/>
      </c>
      <c r="AJ14" s="431" t="n"/>
    </row>
    <row r="15">
      <c r="C15" s="75" t="n"/>
      <c r="D15" s="75" t="inlineStr">
        <is>
          <t>総額</t>
        </is>
      </c>
      <c r="F15" s="74" t="inlineStr">
        <is>
          <t>百万円</t>
        </is>
      </c>
      <c r="G15" s="432">
        <f t="array" ref="G15">IFERROR(_xlfn.IFS(G$7="DB",DB!$O44,G$7="BT",BT!$O44,G$7="DBO",DBO!$O44,G$7="BTO",BTO!$O44,G$7="BOT/BOO",BOT・BOO!$O44),"-")</f>
        <v/>
      </c>
      <c r="H15" s="432">
        <f t="array" ref="H15">IFERROR(_xlfn.IFS(G$7="DB",DB!$P44,G$7="BT",BT!$P44,G$7="DBO",DBO!$P44,G$7="BTO",BTO!$P44,G$7="BOT/BOO",BOT・BOO!$P44),"-")</f>
        <v/>
      </c>
      <c r="I15" s="433" t="n"/>
      <c r="J15" s="432">
        <f t="array" ref="J15">IFERROR(_xlfn.IFS(J$7="DB",DB!$O44,J$7="BT",BT!$O44,J$7="DBO",DBO!$O44,J$7="BTO",BTO!$O44,J$7="BOT/BOO",BOT・BOO!$O44),"-")</f>
        <v/>
      </c>
      <c r="K15" s="432">
        <f t="array" ref="K15">IFERROR(_xlfn.IFS(J$7="DB",DB!$P44,J$7="BT",BT!$P44,J$7="DBO",DBO!$P44,J$7="BTO",BTO!$P44,J$7="BOT/BOO",BOT・BOO!$P44),"-")</f>
        <v/>
      </c>
      <c r="L15" s="433" t="n"/>
      <c r="M15" s="432">
        <f t="array" ref="M15">IFERROR(_xlfn.IFS(M$7="DB",DB!$O44,M$7="BT",BT!$O44,M$7="DBO",DBO!$O44,M$7="BTO",BTO!$O44,M$7="BOT/BOO",BOT・BOO!$O44),"-")</f>
        <v/>
      </c>
      <c r="N15" s="432">
        <f t="array" ref="N15">IFERROR(_xlfn.IFS(M$7="DB",DB!$P44,M$7="BT",BT!$P44,M$7="DBO",DBO!$P44,M$7="BTO",BTO!$P44,M$7="BOT/BOO",BOT・BOO!$P44),"-")</f>
        <v/>
      </c>
      <c r="O15" s="433" t="n"/>
      <c r="P15" s="432">
        <f t="array" ref="P15">IFERROR(_xlfn.IFS(P$7="DB",DB!$O44,P$7="BT",BT!$O44,P$7="DBO",DBO!$O44,P$7="BTO",BTO!$O44,P$7="BOT/BOO",BOT・BOO!$O44),"-")</f>
        <v/>
      </c>
      <c r="Q15" s="432">
        <f t="array" ref="Q15">IFERROR(_xlfn.IFS(P$7="DB",DB!$P44,P$7="BT",BT!$P44,P$7="DBO",DBO!$P44,P$7="BTO",BTO!$P44,P$7="BOT/BOO",BOT・BOO!$P44),"-")</f>
        <v/>
      </c>
      <c r="R15" s="433" t="n"/>
      <c r="S15" s="432">
        <f t="array" ref="S15">IFERROR(_xlfn.IFS(S$7="DB",DB!$O44,S$7="BT",BT!$O44,S$7="DBO",DBO!$O44,S$7="BTO",BTO!$O44,S$7="BOT/BOO",BOT・BOO!$O44),"-")</f>
        <v/>
      </c>
      <c r="T15" s="432">
        <f t="array" ref="T15">IFERROR(_xlfn.IFS(S$7="DB",DB!$P44,S$7="BT",BT!$P44,S$7="DBO",DBO!$P44,S$7="BTO",BTO!$P44,S$7="BOT/BOO",BOT・BOO!$P44),"-")</f>
        <v/>
      </c>
      <c r="Y15" s="75" t="n"/>
      <c r="Z15" s="75" t="n"/>
      <c r="AJ15" s="431" t="n"/>
    </row>
    <row r="16">
      <c r="B16" s="75" t="inlineStr">
        <is>
          <t>資金調達</t>
        </is>
      </c>
      <c r="X16" s="75" t="inlineStr">
        <is>
          <t>VFM</t>
        </is>
      </c>
      <c r="Z16" s="75" t="n"/>
      <c r="AJ16" s="431" t="n"/>
    </row>
    <row r="17">
      <c r="B17" s="75" t="n"/>
      <c r="C17" s="75" t="inlineStr">
        <is>
          <t>施設整備費の支払い条件</t>
        </is>
      </c>
      <c r="D17" s="75" t="n"/>
      <c r="G17" s="203" t="inlineStr">
        <is>
          <t>PSC</t>
        </is>
      </c>
      <c r="H17" s="203" t="inlineStr">
        <is>
          <t>PFI-LCC</t>
        </is>
      </c>
      <c r="J17" s="203" t="inlineStr">
        <is>
          <t>PSC</t>
        </is>
      </c>
      <c r="K17" s="203" t="inlineStr">
        <is>
          <t>PFI-LCC</t>
        </is>
      </c>
      <c r="M17" s="203" t="inlineStr">
        <is>
          <t>PSC</t>
        </is>
      </c>
      <c r="N17" s="203" t="inlineStr">
        <is>
          <t>PFI-LCC</t>
        </is>
      </c>
      <c r="P17" s="203" t="inlineStr">
        <is>
          <t>PSC</t>
        </is>
      </c>
      <c r="Q17" s="203" t="inlineStr">
        <is>
          <t>PFI-LCC</t>
        </is>
      </c>
      <c r="S17" s="203" t="inlineStr">
        <is>
          <t>PSC</t>
        </is>
      </c>
      <c r="T17" s="203" t="inlineStr">
        <is>
          <t>PFI-LCC</t>
        </is>
      </c>
      <c r="Y17" s="75" t="inlineStr">
        <is>
          <t>（④ー②）÷②</t>
        </is>
      </c>
      <c r="Z17" s="75" t="inlineStr">
        <is>
          <t>％</t>
        </is>
      </c>
      <c r="AA17" s="434">
        <f t="array" ref="AA17">IFERROR(_xlfn.IFS(G$7="DB",DB!$Y11,G$7="BT",BT!$Y11,G$7="DBO",DBO!$Y11,G$7="BTO",BTO!$Y11,G$7="BOT/BOO",BOT・BOO!$Y11),"-")</f>
        <v/>
      </c>
      <c r="AC17" s="434">
        <f t="array" ref="AC17">IFERROR(_xlfn.IFS(J$7="DB",DB!$Y11,J$7="BT",BT!$Y11,J$7="DBO",DBO!$Y11,J$7="BTO",BTO!$Y11,J$7="BOT/BOO",BOT・BOO!$Y11),"-")</f>
        <v/>
      </c>
      <c r="AE17" s="435">
        <f t="array" ref="AE17">IFERROR(_xlfn.IFS(M$7="DB",DB!$Y11,M$7="BT",BT!$Y11,M$7="DBO",DBO!$Y11,M$7="BTO",BTO!$Y11,M$7="BOT/BOO",BOT・BOO!$Y11),"-")</f>
        <v/>
      </c>
      <c r="AF17" s="77" t="n"/>
      <c r="AG17" s="435">
        <f t="array" ref="AG17">IFERROR(_xlfn.IFS(P$7="DB",DB!$Y11,P$7="BT",BT!$Y11,P$7="DBO",DBO!$Y11,P$7="BTO",BTO!$Y11,P$7="BOT/BOO",BOT・BOO!$Y11),"-")</f>
        <v/>
      </c>
      <c r="AH17" s="77" t="n"/>
      <c r="AI17" s="435">
        <f t="array" ref="AI17">IFERROR(_xlfn.IFS(S$7="DB",DB!$Y11,S$7="BT",BT!$Y11,S$7="DBO",DBO!$Y11,S$7="BTO",BTO!$Y11,S$7="BOT/BOO",BOT・BOO!$Y11),"-")</f>
        <v/>
      </c>
      <c r="AJ17" s="431" t="n"/>
    </row>
    <row r="18">
      <c r="D18" s="75" t="n"/>
      <c r="E18" s="77" t="inlineStr">
        <is>
          <t>完工時、一括払</t>
        </is>
      </c>
      <c r="F18" s="74" t="inlineStr">
        <is>
          <t>％</t>
        </is>
      </c>
      <c r="G18" s="434">
        <f t="array" ref="G18">IFERROR(_xlfn.IFS(G$7="DB",DB!$E32,G$7="BT",BT!$E32,G$7="DBO",DBO!$E32,G$7="BTO",BTO!$E32,G$7="BOT/BOO",BOT・BOO!$E32),"-")</f>
        <v/>
      </c>
      <c r="H18" s="434">
        <f t="array" ref="H18">IFERROR(_xlfn.IFS(G$7="DB",DB!$F32,G$7="BT",BT!$F32,G$7="DBO",DBO!$F32,G$7="BTO",BTO!$F32,G$7="BOT/BOO",BOT・BOO!$F32),"-")</f>
        <v/>
      </c>
      <c r="J18" s="434">
        <f t="array" ref="J18">IFERROR(_xlfn.IFS(J$7="DB",DB!$E32,J$7="BT",BT!$E32,J$7="DBO",DBO!$E32,J$7="BTO",BTO!$E32,J$7="BOT/BOO",BOT・BOO!$E32),"-")</f>
        <v/>
      </c>
      <c r="K18" s="434">
        <f t="array" ref="K18">IFERROR(_xlfn.IFS(J$7="DB",DB!$F32,J$7="BT",BT!$F32,J$7="DBO",DBO!$F32,J$7="BTO",BTO!$F32,J$7="BOT/BOO",BOT・BOO!$F32),"-")</f>
        <v/>
      </c>
      <c r="M18" s="434">
        <f t="array" ref="M18">IFERROR(_xlfn.IFS(M$7="DB",DB!$E32,M$7="BT",BT!$E32,M$7="DBO",DBO!$E32,M$7="BTO",BTO!$E32,M$7="BOT/BOO",BOT・BOO!$E32),"-")</f>
        <v/>
      </c>
      <c r="N18" s="434">
        <f t="array" ref="N18">IFERROR(_xlfn.IFS(M$7="DB",DB!$F32,M$7="BT",BT!$F32,M$7="DBO",DBO!$F32,M$7="BTO",BTO!$F32,M$7="BOT/BOO",BOT・BOO!$F32),"-")</f>
        <v/>
      </c>
      <c r="O18" s="77" t="n"/>
      <c r="P18" s="434">
        <f t="array" ref="P18">IFERROR(_xlfn.IFS(P$7="DB",DB!$E32,P$7="BT",BT!$E32,P$7="DBO",DBO!$E32,P$7="BTO",BTO!$E32,P$7="BOT/BOO",BOT・BOO!$E32),"-")</f>
        <v/>
      </c>
      <c r="Q18" s="434">
        <f t="array" ref="Q18">IFERROR(_xlfn.IFS(P$7="DB",DB!$F32,P$7="BT",BT!$F32,P$7="DBO",DBO!$F32,P$7="BTO",BTO!$F32,P$7="BOT/BOO",BOT・BOO!$F32),"-")</f>
        <v/>
      </c>
      <c r="R18" s="77" t="n"/>
      <c r="S18" s="434">
        <f t="array" ref="S18">IFERROR(_xlfn.IFS(S$7="DB",DB!$E32,S$7="BT",BT!$E32,S$7="DBO",DBO!$E32,S$7="BTO",BTO!$E32,S$7="BOT/BOO",BOT・BOO!$E32),"-")</f>
        <v/>
      </c>
      <c r="T18" s="434">
        <f t="array" ref="T18">IFERROR(_xlfn.IFS(S$7="DB",DB!$F32,S$7="BT",BT!$F32,S$7="DBO",DBO!$F32,S$7="BTO",BTO!$F32,S$7="BOT/BOO",BOT・BOO!$F32),"-")</f>
        <v/>
      </c>
      <c r="AJ18" s="431" t="n"/>
    </row>
    <row r="19">
      <c r="C19" s="75" t="n"/>
      <c r="D19" s="75" t="n"/>
      <c r="E19" s="77" t="inlineStr">
        <is>
          <t>完工後、割賦払</t>
        </is>
      </c>
      <c r="F19" s="74" t="inlineStr">
        <is>
          <t>％</t>
        </is>
      </c>
      <c r="G19" s="434">
        <f t="array" ref="G19">IFERROR(_xlfn.IFS(G$7="DB",DB!$E33,G$7="BT",BT!$E33,G$7="DBO",DBO!$E33,G$7="BTO",BTO!$E33,G$7="BOT/BOO",BOT・BOO!$E33),"-")</f>
        <v/>
      </c>
      <c r="H19" s="434">
        <f t="array" ref="H19">IFERROR(_xlfn.IFS(G$7="DB",DB!$F33,G$7="BT",BT!$F33,G$7="DBO",DBO!$F33,G$7="BTO",BTO!$F33,G$7="BOT/BOO",BOT・BOO!$F33),"-")</f>
        <v/>
      </c>
      <c r="J19" s="434">
        <f t="array" ref="J19">IFERROR(_xlfn.IFS(J$7="DB",DB!$E33,J$7="BT",BT!$E33,J$7="DBO",DBO!$E33,J$7="BTO",BTO!$E33,J$7="BOT/BOO",BOT・BOO!$E33),"-")</f>
        <v/>
      </c>
      <c r="K19" s="434">
        <f t="array" ref="K19">IFERROR(_xlfn.IFS(J$7="DB",DB!$F33,J$7="BT",BT!$F33,J$7="DBO",DBO!$F33,J$7="BTO",BTO!$F33,J$7="BOT/BOO",BOT・BOO!$F33),"-")</f>
        <v/>
      </c>
      <c r="M19" s="434">
        <f t="array" ref="M19">IFERROR(_xlfn.IFS(M$7="DB",DB!$E33,M$7="BT",BT!$E33,M$7="DBO",DBO!$E33,M$7="BTO",BTO!$E33,M$7="BOT/BOO",BOT・BOO!$E33),"-")</f>
        <v/>
      </c>
      <c r="N19" s="434">
        <f t="array" ref="N19">IFERROR(_xlfn.IFS(M$7="DB",DB!$F33,M$7="BT",BT!$F33,M$7="DBO",DBO!$F33,M$7="BTO",BTO!$F33,M$7="BOT/BOO",BOT・BOO!$F33),"-")</f>
        <v/>
      </c>
      <c r="O19" s="77" t="n"/>
      <c r="P19" s="434">
        <f t="array" ref="P19">IFERROR(_xlfn.IFS(P$7="DB",DB!$E33,P$7="BT",BT!$E33,P$7="DBO",DBO!$E33,P$7="BTO",BTO!$E33,P$7="BOT/BOO",BOT・BOO!$E33),"-")</f>
        <v/>
      </c>
      <c r="Q19" s="434">
        <f t="array" ref="Q19">IFERROR(_xlfn.IFS(P$7="DB",DB!$F33,P$7="BT",BT!$F33,P$7="DBO",DBO!$F33,P$7="BTO",BTO!$F33,P$7="BOT/BOO",BOT・BOO!$F33),"-")</f>
        <v/>
      </c>
      <c r="R19" s="77" t="n"/>
      <c r="S19" s="434">
        <f t="array" ref="S19">IFERROR(_xlfn.IFS(S$7="DB",DB!$E33,S$7="BT",BT!$E33,S$7="DBO",DBO!$E33,S$7="BTO",BTO!$E33,S$7="BOT/BOO",BOT・BOO!$E33),"-")</f>
        <v/>
      </c>
      <c r="T19" s="434">
        <f t="array" ref="T19">IFERROR(_xlfn.IFS(S$7="DB",DB!$F33,S$7="BT",BT!$F33,S$7="DBO",DBO!$F33,S$7="BTO",BTO!$F33,S$7="BOT/BOO",BOT・BOO!$F33),"-")</f>
        <v/>
      </c>
    </row>
    <row r="20">
      <c r="C20" s="75" t="inlineStr">
        <is>
          <t>公共債の発行</t>
        </is>
      </c>
      <c r="D20" s="75" t="n"/>
      <c r="G20" s="203" t="inlineStr">
        <is>
          <t>PSC</t>
        </is>
      </c>
      <c r="H20" s="203" t="inlineStr">
        <is>
          <t>PFI-LCC</t>
        </is>
      </c>
      <c r="J20" s="203" t="inlineStr">
        <is>
          <t>PSC</t>
        </is>
      </c>
      <c r="K20" s="203" t="inlineStr">
        <is>
          <t>PFI-LCC</t>
        </is>
      </c>
      <c r="M20" s="203" t="inlineStr">
        <is>
          <t>PSC</t>
        </is>
      </c>
      <c r="N20" s="203" t="inlineStr">
        <is>
          <t>PFI-LCC</t>
        </is>
      </c>
      <c r="P20" s="203" t="inlineStr">
        <is>
          <t>PSC</t>
        </is>
      </c>
      <c r="Q20" s="203" t="inlineStr">
        <is>
          <t>PFI-LCC</t>
        </is>
      </c>
      <c r="S20" s="203" t="inlineStr">
        <is>
          <t>PSC</t>
        </is>
      </c>
      <c r="T20" s="203" t="inlineStr">
        <is>
          <t>PFI-LCC</t>
        </is>
      </c>
      <c r="X20" s="201" t="n"/>
    </row>
    <row r="21">
      <c r="C21" s="75" t="n"/>
      <c r="D21" s="75" t="inlineStr">
        <is>
          <t>補助金</t>
        </is>
      </c>
      <c r="F21" s="74" t="inlineStr">
        <is>
          <t>百万円</t>
        </is>
      </c>
      <c r="G21" s="432">
        <f t="array" ref="G21">IFERROR(_xlfn.IFS(G$7="DB",DB!$O61,G$7="BT",BT!$O61,G$7="DBO",DBO!$O61,G$7="BTO",BTO!$O61,G$7="BOT/BOO",BOT・BOO!$O61),"-")</f>
        <v/>
      </c>
      <c r="H21" s="432">
        <f t="array" ref="H21">IFERROR(_xlfn.IFS(G$7="DB",DB!$P61,G$7="BT",BT!$P61,G$7="DBO",DBO!$P61,G$7="BTO",BTO!$P61,G$7="BOT/BOO",BOT・BOO!$P61),"-")</f>
        <v/>
      </c>
      <c r="J21" s="432">
        <f t="array" ref="J21">IFERROR(_xlfn.IFS(J$7="DB",DB!$O61,J$7="BT",BT!$O61,J$7="DBO",DBO!$O61,J$7="BTO",BTO!$O61,J$7="BOT/BOO",BOT・BOO!$O61),"-")</f>
        <v/>
      </c>
      <c r="K21" s="432">
        <f t="array" ref="K21">IFERROR(_xlfn.IFS(J$7="DB",DB!$P61,J$7="BT",BT!$P61,J$7="DBO",DBO!$P61,J$7="BTO",BTO!$P61,J$7="BOT/BOO",BOT・BOO!$P61),"-")</f>
        <v/>
      </c>
      <c r="M21" s="432">
        <f t="array" ref="M21">IFERROR(_xlfn.IFS(M$7="DB",DB!$O61,M$7="BT",BT!$O61,M$7="DBO",DBO!$O61,M$7="BTO",BTO!$O61,M$7="BOT/BOO",BOT・BOO!$O61),"-")</f>
        <v/>
      </c>
      <c r="N21" s="432">
        <f t="array" ref="N21">IFERROR(_xlfn.IFS(M$7="DB",DB!$P61,M$7="BT",BT!$P61,M$7="DBO",DBO!$P61,M$7="BTO",BTO!$P61,M$7="BOT/BOO",BOT・BOO!$P61),"-")</f>
        <v/>
      </c>
      <c r="P21" s="432">
        <f t="array" ref="P21">IFERROR(_xlfn.IFS(P$7="DB",DB!$O61,P$7="BT",BT!$O61,P$7="DBO",DBO!$O61,P$7="BTO",BTO!$O61,P$7="BOT/BOO",BOT・BOO!$O61),"-")</f>
        <v/>
      </c>
      <c r="Q21" s="432">
        <f t="array" ref="Q21">IFERROR(_xlfn.IFS(P$7="DB",DB!$P61,P$7="BT",BT!$P61,P$7="DBO",DBO!$P61,P$7="BTO",BTO!$P61,P$7="BOT/BOO",BOT・BOO!$P61),"-")</f>
        <v/>
      </c>
      <c r="S21" s="432">
        <f t="array" ref="S21">IFERROR(_xlfn.IFS(S$7="DB",DB!$O61,S$7="BT",BT!$O61,S$7="DBO",DBO!$O61,S$7="BTO",BTO!$O61,S$7="BOT/BOO",BOT・BOO!$O61),"-")</f>
        <v/>
      </c>
      <c r="T21" s="432">
        <f t="array" ref="T21">IFERROR(_xlfn.IFS(S$7="DB",DB!$P61,S$7="BT",BT!$P61,S$7="DBO",DBO!$P61,S$7="BTO",BTO!$P61,S$7="BOT/BOO",BOT・BOO!$P61),"-")</f>
        <v/>
      </c>
    </row>
    <row r="22">
      <c r="D22" s="75" t="inlineStr">
        <is>
          <t>起債発行額（額）</t>
        </is>
      </c>
      <c r="F22" s="74" t="inlineStr">
        <is>
          <t>百万円</t>
        </is>
      </c>
      <c r="G22" s="432">
        <f t="array" ref="G22">IFERROR(_xlfn.IFS(G$7="DB",DB!$O62,G$7="BT",BT!$O62,G$7="DBO",DBO!$O62,G$7="BTO",BTO!$O62,G$7="BOT/BOO",BOT・BOO!$O62),"-")</f>
        <v/>
      </c>
      <c r="H22" s="432">
        <f t="array" ref="H22">IFERROR(_xlfn.IFS(G$7="DB",DB!$P62,G$7="BT",BT!$P62,G$7="DBO",DBO!$P62,G$7="BTO",BTO!$P62,G$7="BOT/BOO",BOT・BOO!$P62),"-")</f>
        <v/>
      </c>
      <c r="J22" s="432">
        <f t="array" ref="J22">IFERROR(_xlfn.IFS(J$7="DB",DB!$O62,J$7="BT",BT!$O62,J$7="DBO",DBO!$O62,J$7="BTO",BTO!$O62,J$7="BOT/BOO",BOT・BOO!$O62),"-")</f>
        <v/>
      </c>
      <c r="K22" s="432">
        <f t="array" ref="K22">IFERROR(_xlfn.IFS(J$7="DB",DB!$P62,J$7="BT",BT!$P62,J$7="DBO",DBO!$P62,J$7="BTO",BTO!$P62,J$7="BOT/BOO",BOT・BOO!$P62),"-")</f>
        <v/>
      </c>
      <c r="M22" s="432">
        <f t="array" ref="M22">IFERROR(_xlfn.IFS(M$7="DB",DB!$O62,M$7="BT",BT!$O62,M$7="DBO",DBO!$O62,M$7="BTO",BTO!$O62,M$7="BOT/BOO",BOT・BOO!$O62),"-")</f>
        <v/>
      </c>
      <c r="N22" s="432">
        <f t="array" ref="N22">IFERROR(_xlfn.IFS(M$7="DB",DB!$P62,M$7="BT",BT!$P62,M$7="DBO",DBO!$P62,M$7="BTO",BTO!$P62,M$7="BOT/BOO",BOT・BOO!$P62),"-")</f>
        <v/>
      </c>
      <c r="P22" s="432">
        <f t="array" ref="P22">IFERROR(_xlfn.IFS(P$7="DB",DB!$O62,P$7="BT",BT!$O62,P$7="DBO",DBO!$O62,P$7="BTO",BTO!$O62,P$7="BOT/BOO",BOT・BOO!$O62),"-")</f>
        <v/>
      </c>
      <c r="Q22" s="432">
        <f t="array" ref="Q22">IFERROR(_xlfn.IFS(P$7="DB",DB!$P62,P$7="BT",BT!$P62,P$7="DBO",DBO!$P62,P$7="BTO",BTO!$P62,P$7="BOT/BOO",BOT・BOO!$P62),"-")</f>
        <v/>
      </c>
      <c r="S22" s="432">
        <f t="array" ref="S22">IFERROR(_xlfn.IFS(S$7="DB",DB!$O62,S$7="BT",BT!$O62,S$7="DBO",DBO!$O62,S$7="BTO",BTO!$O62,S$7="BOT/BOO",BOT・BOO!$O62),"-")</f>
        <v/>
      </c>
      <c r="T22" s="432">
        <f t="array" ref="T22">IFERROR(_xlfn.IFS(S$7="DB",DB!$P62,S$7="BT",BT!$P62,S$7="DBO",DBO!$P62,S$7="BTO",BTO!$P62,S$7="BOT/BOO",BOT・BOO!$P62),"-")</f>
        <v/>
      </c>
    </row>
    <row r="23">
      <c r="D23" s="75" t="inlineStr">
        <is>
          <t>起債への交付金（額）</t>
        </is>
      </c>
      <c r="F23" s="74" t="inlineStr">
        <is>
          <t>百万円</t>
        </is>
      </c>
      <c r="G23" s="432">
        <f t="array" ref="G23">IFERROR(_xlfn.IFS(G$7="DB",DB!$O63,G$7="BT",BT!$O63,G$7="DBO",DBO!$O63,G$7="BTO",BTO!$O63,G$7="BOT/BOO",BOT・BOO!$O63),"-")</f>
        <v/>
      </c>
      <c r="H23" s="432">
        <f t="array" ref="H23">IFERROR(_xlfn.IFS(G$7="DB",DB!$P63,G$7="BT",BT!$P63,G$7="DBO",DBO!$P63,G$7="BTO",BTO!$P63,G$7="BOT/BOO",BOT・BOO!$P63),"-")</f>
        <v/>
      </c>
      <c r="J23" s="432">
        <f t="array" ref="J23">IFERROR(_xlfn.IFS(J$7="DB",DB!$O63,J$7="BT",BT!$O63,J$7="DBO",DBO!$O63,J$7="BTO",BTO!$O63,J$7="BOT/BOO",BOT・BOO!$O63),"-")</f>
        <v/>
      </c>
      <c r="K23" s="432">
        <f t="array" ref="K23">IFERROR(_xlfn.IFS(J$7="DB",DB!$P63,J$7="BT",BT!$P63,J$7="DBO",DBO!$P63,J$7="BTO",BTO!$P63,J$7="BOT/BOO",BOT・BOO!$P63),"-")</f>
        <v/>
      </c>
      <c r="M23" s="432">
        <f t="array" ref="M23">IFERROR(_xlfn.IFS(M$7="DB",DB!$O63,M$7="BT",BT!$O63,M$7="DBO",DBO!$O63,M$7="BTO",BTO!$O63,M$7="BOT/BOO",BOT・BOO!$O63),"-")</f>
        <v/>
      </c>
      <c r="N23" s="432">
        <f t="array" ref="N23">IFERROR(_xlfn.IFS(M$7="DB",DB!$P63,M$7="BT",BT!$P63,M$7="DBO",DBO!$P63,M$7="BTO",BTO!$P63,M$7="BOT/BOO",BOT・BOO!$P63),"-")</f>
        <v/>
      </c>
      <c r="P23" s="432">
        <f t="array" ref="P23">IFERROR(_xlfn.IFS(P$7="DB",DB!$O63,P$7="BT",BT!$O63,P$7="DBO",DBO!$O63,P$7="BTO",BTO!$O63,P$7="BOT/BOO",BOT・BOO!$O63),"-")</f>
        <v/>
      </c>
      <c r="Q23" s="432">
        <f t="array" ref="Q23">IFERROR(_xlfn.IFS(P$7="DB",DB!$P63,P$7="BT",BT!$P63,P$7="DBO",DBO!$P63,P$7="BTO",BTO!$P63,P$7="BOT/BOO",BOT・BOO!$P63),"-")</f>
        <v/>
      </c>
      <c r="S23" s="432">
        <f t="array" ref="S23">IFERROR(_xlfn.IFS(S$7="DB",DB!$O63,S$7="BT",BT!$O63,S$7="DBO",DBO!$O63,S$7="BTO",BTO!$O63,S$7="BOT/BOO",BOT・BOO!$O63),"-")</f>
        <v/>
      </c>
      <c r="T23" s="432">
        <f t="array" ref="T23">IFERROR(_xlfn.IFS(S$7="DB",DB!$P63,S$7="BT",BT!$P63,S$7="DBO",DBO!$P63,S$7="BTO",BTO!$P63,S$7="BOT/BOO",BOT・BOO!$P63),"-")</f>
        <v/>
      </c>
    </row>
    <row r="24">
      <c r="D24" s="75" t="inlineStr">
        <is>
          <t>起債償還額（年額）</t>
        </is>
      </c>
      <c r="F24" s="74" t="inlineStr">
        <is>
          <t>百万円</t>
        </is>
      </c>
      <c r="G24" s="432">
        <f t="array" ref="G24">IFERROR(_xlfn.IFS(G$7="DB",DB!$O64,G$7="BT",BT!$O64,G$7="DBO",DBO!$O64,G$7="BTO",BTO!$O64,G$7="BOT/BOO",BOT・BOO!$O64),"-")</f>
        <v/>
      </c>
      <c r="H24" s="432">
        <f t="array" ref="H24">IFERROR(_xlfn.IFS(G$7="DB",DB!$P64,G$7="BT",BT!$P64,G$7="DBO",DBO!$P64,G$7="BTO",BTO!$P64,G$7="BOT/BOO",BOT・BOO!$P64),"-")</f>
        <v/>
      </c>
      <c r="J24" s="432">
        <f t="array" ref="J24">IFERROR(_xlfn.IFS(J$7="DB",DB!$O64,J$7="BT",BT!$O64,J$7="DBO",DBO!$O64,J$7="BTO",BTO!$O64,J$7="BOT/BOO",BOT・BOO!$O64),"-")</f>
        <v/>
      </c>
      <c r="K24" s="432">
        <f t="array" ref="K24">IFERROR(_xlfn.IFS(J$7="DB",DB!$P64,J$7="BT",BT!$P64,J$7="DBO",DBO!$P64,J$7="BTO",BTO!$P64,J$7="BOT/BOO",BOT・BOO!$P64),"-")</f>
        <v/>
      </c>
      <c r="M24" s="432">
        <f t="array" ref="M24">IFERROR(_xlfn.IFS(M$7="DB",DB!$O64,M$7="BT",BT!$O64,M$7="DBO",DBO!$O64,M$7="BTO",BTO!$O64,M$7="BOT/BOO",BOT・BOO!$O64),"-")</f>
        <v/>
      </c>
      <c r="N24" s="432">
        <f t="array" ref="N24">IFERROR(_xlfn.IFS(M$7="DB",DB!$P64,M$7="BT",BT!$P64,M$7="DBO",DBO!$P64,M$7="BTO",BTO!$P64,M$7="BOT/BOO",BOT・BOO!$P64),"-")</f>
        <v/>
      </c>
      <c r="P24" s="432">
        <f t="array" ref="P24">IFERROR(_xlfn.IFS(P$7="DB",DB!$O64,P$7="BT",BT!$O64,P$7="DBO",DBO!$O64,P$7="BTO",BTO!$O64,P$7="BOT/BOO",BOT・BOO!$O64),"-")</f>
        <v/>
      </c>
      <c r="Q24" s="432">
        <f t="array" ref="Q24">IFERROR(_xlfn.IFS(P$7="DB",DB!$P64,P$7="BT",BT!$P64,P$7="DBO",DBO!$P64,P$7="BTO",BTO!$P64,P$7="BOT/BOO",BOT・BOO!$P64),"-")</f>
        <v/>
      </c>
      <c r="S24" s="432">
        <f t="array" ref="S24">IFERROR(_xlfn.IFS(S$7="DB",DB!$O64,S$7="BT",BT!$O64,S$7="DBO",DBO!$O64,S$7="BTO",BTO!$O64,S$7="BOT/BOO",BOT・BOO!$O64),"-")</f>
        <v/>
      </c>
      <c r="T24" s="432">
        <f t="array" ref="T24">IFERROR(_xlfn.IFS(S$7="DB",DB!$P64,S$7="BT",BT!$P64,S$7="DBO",DBO!$P64,S$7="BTO",BTO!$P64,S$7="BOT/BOO",BOT・BOO!$P64),"-")</f>
        <v/>
      </c>
    </row>
    <row r="25">
      <c r="C25" s="75" t="inlineStr">
        <is>
          <t>公共債の利率</t>
        </is>
      </c>
    </row>
    <row r="26">
      <c r="G26" s="436">
        <f t="array" ref="G26">IFERROR(_xlfn.IFS(G$7="DB",DB!$F65,G$7="BT",BT!$F65,G$7="DBO",DBO!$F65,G$7="BTO",BTO!$F65,G$7="BOT/BOO",BOT・BOO!$F65),"-")</f>
        <v/>
      </c>
      <c r="H26" s="437" t="n"/>
      <c r="J26" s="436">
        <f t="array" ref="J26">IFERROR(_xlfn.IFS(J$7="DB",DB!$F65,J$7="BT",BT!$F65,J$7="DBO",DBO!$F65,J$7="BTO",BTO!$F65,J$7="BOT/BOO",BOT・BOO!$F65),"-")</f>
        <v/>
      </c>
      <c r="K26" s="437" t="n"/>
      <c r="M26" s="436">
        <f t="array" ref="M26">IFERROR(_xlfn.IFS(M$7="DB",DB!$F65,M$7="BT",BT!$F65,M$7="DBO",DBO!$F65,M$7="BTO",BTO!$F65,M$7="BOT/BOO",BOT・BOO!$F65),"-")</f>
        <v/>
      </c>
      <c r="N26" s="437" t="n"/>
      <c r="P26" s="436">
        <f t="array" ref="P26">IFERROR(_xlfn.IFS(P$7="DB",DB!$F65,P$7="BT",BT!$F65,P$7="DBO",DBO!$F65,P$7="BTO",BTO!$F65,P$7="BOT/BOO",BOT・BOO!$F65),"-")</f>
        <v/>
      </c>
      <c r="Q26" s="437" t="n"/>
      <c r="S26" s="436">
        <f t="array" ref="S26">IFERROR(_xlfn.IFS(S$7="DB",DB!$F65,S$7="BT",BT!$F65,S$7="DBO",DBO!$F65,S$7="BTO",BTO!$F65,S$7="BOT/BOO",BOT・BOO!$F65),"-")</f>
        <v/>
      </c>
      <c r="T26" s="437" t="n"/>
    </row>
    <row r="27">
      <c r="C27" s="75" t="inlineStr">
        <is>
          <t>PFI実施時の割賦金利</t>
        </is>
      </c>
      <c r="G27" s="203" t="inlineStr">
        <is>
          <t>PSC</t>
        </is>
      </c>
      <c r="H27" s="203" t="inlineStr">
        <is>
          <t>PFI-LCC</t>
        </is>
      </c>
      <c r="J27" s="203" t="inlineStr">
        <is>
          <t>PSC</t>
        </is>
      </c>
      <c r="K27" s="203" t="inlineStr">
        <is>
          <t>PFI-LCC</t>
        </is>
      </c>
      <c r="M27" s="203" t="inlineStr">
        <is>
          <t>PSC</t>
        </is>
      </c>
      <c r="N27" s="203" t="inlineStr">
        <is>
          <t>PFI-LCC</t>
        </is>
      </c>
      <c r="P27" s="203" t="inlineStr">
        <is>
          <t>PSC</t>
        </is>
      </c>
      <c r="Q27" s="203" t="inlineStr">
        <is>
          <t>PFI-LCC</t>
        </is>
      </c>
      <c r="S27" s="203" t="inlineStr">
        <is>
          <t>PSC</t>
        </is>
      </c>
      <c r="T27" s="203" t="inlineStr">
        <is>
          <t>PFI-LCC</t>
        </is>
      </c>
    </row>
    <row r="28">
      <c r="E28" s="74" t="inlineStr">
        <is>
          <t>基準金利</t>
        </is>
      </c>
      <c r="F28" s="74" t="inlineStr">
        <is>
          <t>％</t>
        </is>
      </c>
      <c r="G28" s="204" t="n"/>
      <c r="H28" s="220">
        <f t="array" ref="H28">IFERROR(_xlfn.IFS(G$7="DB",DB!$F35,G$7="BT",BT!$F35,G$7="DBO",DBO!$F35,G$7="BTO",BTO!$F35,G$7="BOT/BOO",BOT・BOO!$F35),"-")</f>
        <v/>
      </c>
      <c r="I28" s="221" t="n"/>
      <c r="J28" s="204" t="n"/>
      <c r="K28" s="220">
        <f t="array" ref="K28">IFERROR(_xlfn.IFS(J$7="DB",DB!$F35,J$7="BT",BT!$F35,J$7="DBO",DBO!$F35,J$7="BTO",BTO!$F35,J$7="BOT/BOO",BOT・BOO!$F35),"-")</f>
        <v/>
      </c>
      <c r="L28" s="221" t="n"/>
      <c r="M28" s="204" t="n"/>
      <c r="N28" s="220">
        <f t="array" ref="N28">IFERROR(_xlfn.IFS(M$7="DB",DB!$F35,M$7="BT",BT!$F35,M$7="DBO",DBO!$F35,M$7="BTO",BTO!$F35,M$7="BOT/BOO",BOT・BOO!$F35),"-")</f>
        <v/>
      </c>
      <c r="O28" s="221" t="n"/>
      <c r="P28" s="204" t="n"/>
      <c r="Q28" s="220">
        <f t="array" ref="Q28">IFERROR(_xlfn.IFS(P$7="DB",DB!$F35,P$7="BT",BT!$F35,P$7="DBO",DBO!$F35,P$7="BTO",BTO!$F35,P$7="BOT/BOO",BOT・BOO!$F35),"-")</f>
        <v/>
      </c>
      <c r="R28" s="221" t="n"/>
      <c r="S28" s="204" t="n"/>
      <c r="T28" s="220">
        <f t="array" ref="T28">IFERROR(_xlfn.IFS(S$7="DB",DB!$F35,S$7="BT",BT!$F35,S$7="DBO",DBO!$F35,S$7="BTO",BTO!$F35,S$7="BOT/BOO",BOT・BOO!$F35),"-")</f>
        <v/>
      </c>
    </row>
    <row r="29" ht="21" customHeight="1" s="302" thickBot="1">
      <c r="E29" s="74" t="inlineStr">
        <is>
          <t>スプレッド</t>
        </is>
      </c>
      <c r="F29" s="74" t="inlineStr">
        <is>
          <t>％</t>
        </is>
      </c>
      <c r="G29" s="219" t="n"/>
      <c r="H29" s="220">
        <f t="array" ref="H29">IFERROR(_xlfn.IFS(G$7="DB",SUM(DB!F36:F37),G$7="BT",SUM(BT!F36:F37),G$7="DBO",SUM(DBO!F36:F37),G$7="BTO",SUM(BTO!F36:F37),G$7="BOT/BOO",SUM(BOT・BOO!F36:F37)),"-")</f>
        <v/>
      </c>
      <c r="I29" s="221" t="n"/>
      <c r="J29" s="219" t="n"/>
      <c r="K29" s="220">
        <f t="array" ref="K29">IFERROR(_xlfn.IFS(J$7="DB",SUM(DB!F36:F37),J$7="BT",SUM(BT!F36:F37),J$7="DBO",SUM(DBO!F36:F37),J$7="BTO",SUM(BTO!F36:F37),J$7="BOT/BOO",SUM(BOT・BOO!F36:F37)),"-")</f>
        <v/>
      </c>
      <c r="L29" s="221" t="n"/>
      <c r="M29" s="219" t="n"/>
      <c r="N29" s="220">
        <f t="array" ref="N29">IFERROR(_xlfn.IFS(M$7="DB",SUM(DB!F36:F37),M$7="BT",SUM(BT!F36:F37),M$7="DBO",SUM(DBO!F36:F37),M$7="BTO",SUM(BTO!F36:F37),M$7="BOT/BOO",SUM(BOT・BOO!F36:F37)),"-")</f>
        <v/>
      </c>
      <c r="O29" s="221" t="n"/>
      <c r="P29" s="219" t="n"/>
      <c r="Q29" s="220">
        <f t="array" ref="Q29">IFERROR(_xlfn.IFS(P$7="DB",SUM(DB!F36:F37),P$7="BT",SUM(BT!F36:F37),P$7="DBO",SUM(DBO!F36:F37),P$7="BTO",SUM(BTO!F36:F37),P$7="BOT/BOO",SUM(BOT・BOO!F36:F37)),"-")</f>
        <v/>
      </c>
      <c r="R29" s="221" t="n"/>
      <c r="S29" s="219" t="n"/>
      <c r="T29" s="220">
        <f t="array" ref="T29">IFERROR(_xlfn.IFS(S$7="DB",SUM(DB!F36:F37),S$7="BT",SUM(BT!F36:F37),S$7="DBO",SUM(DBO!F36:F37),S$7="BTO",SUM(BTO!F36:F37),S$7="BOT/BOO",SUM(BOT・BOO!F36:F37)),"-")</f>
        <v/>
      </c>
    </row>
    <row r="30" ht="21" customHeight="1" s="302" thickBot="1">
      <c r="E30" s="74" t="inlineStr">
        <is>
          <t>合計</t>
        </is>
      </c>
      <c r="F30" s="74" t="inlineStr">
        <is>
          <t>％</t>
        </is>
      </c>
      <c r="G30" s="206" t="n"/>
      <c r="H30" s="207">
        <f>SUM(H28:H29)</f>
        <v/>
      </c>
      <c r="I30" s="221" t="n"/>
      <c r="J30" s="206" t="n"/>
      <c r="K30" s="207">
        <f>SUM(K28:K29)</f>
        <v/>
      </c>
      <c r="L30" s="221" t="n"/>
      <c r="M30" s="206" t="n"/>
      <c r="N30" s="207">
        <f>SUM(N28:N29)</f>
        <v/>
      </c>
      <c r="O30" s="221" t="n"/>
      <c r="P30" s="206" t="n"/>
      <c r="Q30" s="207">
        <f>SUM(Q28:Q29)</f>
        <v/>
      </c>
      <c r="R30" s="221" t="n"/>
      <c r="S30" s="206" t="n"/>
      <c r="T30" s="223">
        <f>SUM(T28:T29)</f>
        <v/>
      </c>
    </row>
    <row r="31">
      <c r="B31" s="75" t="inlineStr">
        <is>
          <t>リスク調整</t>
        </is>
      </c>
    </row>
    <row r="32">
      <c r="G32" s="203" t="inlineStr">
        <is>
          <t>PSC</t>
        </is>
      </c>
      <c r="H32" s="203" t="inlineStr">
        <is>
          <t>PFI-LCC</t>
        </is>
      </c>
      <c r="J32" s="203" t="inlineStr">
        <is>
          <t>PSC</t>
        </is>
      </c>
      <c r="K32" s="203" t="inlineStr">
        <is>
          <t>PFI-LCC</t>
        </is>
      </c>
      <c r="M32" s="203" t="inlineStr">
        <is>
          <t>PSC</t>
        </is>
      </c>
      <c r="N32" s="203" t="inlineStr">
        <is>
          <t>PFI-LCC</t>
        </is>
      </c>
      <c r="P32" s="203" t="inlineStr">
        <is>
          <t>PSC</t>
        </is>
      </c>
      <c r="Q32" s="203" t="inlineStr">
        <is>
          <t>PFI-LCC</t>
        </is>
      </c>
      <c r="S32" s="203" t="inlineStr">
        <is>
          <t>PSC</t>
        </is>
      </c>
      <c r="T32" s="203" t="inlineStr">
        <is>
          <t>PFI-LCC</t>
        </is>
      </c>
    </row>
    <row r="33">
      <c r="C33" s="94" t="inlineStr">
        <is>
          <t>SPC設立費用</t>
        </is>
      </c>
      <c r="D33" s="0" t="n"/>
      <c r="F33" s="74" t="inlineStr">
        <is>
          <t>百万円</t>
        </is>
      </c>
      <c r="G33" s="432">
        <f t="array" ref="G33">IFERROR(_xlfn.IFS(G$7="DB",DB!$F104,G$7="BT",BT!$F104,G$7="DBO",DBO!$F104,G$7="BTO",BTO!$F104,G$7="BOT/BOO",BOT・BOO!$F104),"-")</f>
        <v/>
      </c>
      <c r="H33" s="204" t="n"/>
      <c r="J33" s="432">
        <f t="array" ref="J33">IFERROR(_xlfn.IFS(J$7="DB",DB!$F104,J$7="BT",BT!$F104,J$7="DBO",DBO!$F104,J$7="BTO",BTO!$F104,J$7="BOT/BOO",BOT・BOO!$F104),"-")</f>
        <v/>
      </c>
      <c r="K33" s="204" t="n"/>
      <c r="M33" s="432">
        <f t="array" ref="M33">IFERROR(_xlfn.IFS(M$7="DB",DB!$F104,M$7="BT",BT!$F104,M$7="DBO",DBO!$F104,M$7="BTO",BTO!$F104,M$7="BOT/BOO",BOT・BOO!$F104),"-")</f>
        <v/>
      </c>
      <c r="N33" s="204" t="n"/>
      <c r="P33" s="432">
        <f t="array" ref="P33">IFERROR(_xlfn.IFS(P$7="DB",DB!$F104,P$7="BT",BT!$F104,P$7="DBO",DBO!$F104,P$7="BTO",BTO!$F104,P$7="BOT/BOO",BOT・BOO!$F104),"-")</f>
        <v/>
      </c>
      <c r="Q33" s="204" t="n"/>
      <c r="S33" s="432">
        <f t="array" ref="S33">IFERROR(_xlfn.IFS(S$7="DB",DB!$F104,S$7="BT",BT!$F104,S$7="DBO",DBO!$F104,S$7="BTO",BTO!$F104,S$7="BOT/BOO",BOT・BOO!$F104),"-")</f>
        <v/>
      </c>
      <c r="T33" s="204" t="n"/>
    </row>
    <row r="34">
      <c r="C34" s="94" t="inlineStr">
        <is>
          <t>SPC経費（年額）</t>
        </is>
      </c>
      <c r="D34" s="0" t="n"/>
      <c r="E34" s="0" t="n"/>
      <c r="F34" s="74" t="inlineStr">
        <is>
          <t>百万円</t>
        </is>
      </c>
      <c r="G34" s="432">
        <f t="array" ref="G34">IFERROR(_xlfn.IFS(G$7="DB",DB!$F105,G$7="BT",BT!$F105,G$7="DBO",DBO!$F105,G$7="BTO",BTO!$F105,G$7="BOT/BOO",BOT・BOO!$F105),"-")</f>
        <v/>
      </c>
      <c r="H34" s="202" t="n"/>
      <c r="J34" s="432">
        <f t="array" ref="J34">IFERROR(_xlfn.IFS(J$7="DB",DB!$F105,J$7="BT",BT!$F105,J$7="DBO",DBO!$F105,J$7="BTO",BTO!$F105,J$7="BOT/BOO",BOT・BOO!$F105),"-")</f>
        <v/>
      </c>
      <c r="K34" s="204" t="n"/>
      <c r="M34" s="432">
        <f t="array" ref="M34">IFERROR(_xlfn.IFS(M$7="DB",DB!$F105,M$7="BT",BT!$F105,M$7="DBO",DBO!$F105,M$7="BTO",BTO!$F105,M$7="BOT/BOO",BOT・BOO!$F105),"-")</f>
        <v/>
      </c>
      <c r="N34" s="204" t="n"/>
      <c r="P34" s="432">
        <f t="array" ref="P34">IFERROR(_xlfn.IFS(P$7="DB",DB!$F105,P$7="BT",BT!$F105,P$7="DBO",DBO!$F105,P$7="BTO",BTO!$F105,P$7="BOT/BOO",BOT・BOO!$F105),"-")</f>
        <v/>
      </c>
      <c r="Q34" s="204" t="n"/>
      <c r="S34" s="432">
        <f t="array" ref="S34">IFERROR(_xlfn.IFS(S$7="DB",DB!$F105,S$7="BT",BT!$F105,S$7="DBO",DBO!$F105,S$7="BTO",BTO!$F105,S$7="BOT/BOO",BOT・BOO!$F105),"-")</f>
        <v/>
      </c>
      <c r="T34" s="204" t="n"/>
    </row>
    <row r="35">
      <c r="C35" s="94" t="inlineStr">
        <is>
          <t>SPC予備費</t>
        </is>
      </c>
      <c r="D35" s="0" t="n"/>
      <c r="E35" s="0" t="n"/>
      <c r="F35" s="74" t="inlineStr">
        <is>
          <t>百万円</t>
        </is>
      </c>
      <c r="G35" s="432">
        <f t="array" ref="G35">IFERROR(_xlfn.IFS(G$7="DB",DB!$F106,G$7="BT",BT!$F106,G$7="DBO",DBO!$F106,G$7="BTO",BTO!$F106,G$7="BOT/BOO",BOT・BOO!$F106),"-")</f>
        <v/>
      </c>
      <c r="H35" s="204" t="n"/>
      <c r="J35" s="432">
        <f t="array" ref="J35">IFERROR(_xlfn.IFS(J$7="DB",DB!$F106,J$7="BT",BT!$F106,J$7="DBO",DBO!$F106,J$7="BTO",BTO!$F106,J$7="BOT/BOO",BOT・BOO!$F106),"-")</f>
        <v/>
      </c>
      <c r="K35" s="204" t="n"/>
      <c r="M35" s="432">
        <f t="array" ref="M35">IFERROR(_xlfn.IFS(M$7="DB",DB!$F106,M$7="BT",BT!$F106,M$7="DBO",DBO!$F106,M$7="BTO",BTO!$F106,M$7="BOT/BOO",BOT・BOO!$F106),"-")</f>
        <v/>
      </c>
      <c r="N35" s="204" t="n"/>
      <c r="P35" s="432">
        <f t="array" ref="P35">IFERROR(_xlfn.IFS(P$7="DB",DB!$F106,P$7="BT",BT!$F106,P$7="DBO",DBO!$F106,P$7="BTO",BTO!$F106,P$7="BOT/BOO",BOT・BOO!$F106),"-")</f>
        <v/>
      </c>
      <c r="Q35" s="204" t="n"/>
      <c r="S35" s="432">
        <f t="array" ref="S35">IFERROR(_xlfn.IFS(S$7="DB",DB!$F106,S$7="BT",BT!$F106,S$7="DBO",DBO!$F106,S$7="BTO",BTO!$F106,S$7="BOT/BOO",BOT・BOO!$F106),"-")</f>
        <v/>
      </c>
      <c r="T35" s="204" t="n"/>
    </row>
    <row r="36">
      <c r="E36" s="0" t="n"/>
    </row>
    <row r="38">
      <c r="A38" s="74" t="inlineStr">
        <is>
          <t xml:space="preserve"> </t>
        </is>
      </c>
      <c r="B38" s="214" t="inlineStr">
        <is>
          <t>*1　PSCは競争の効果を反映、PFI-LCCは民間実施による削減率を織り込み</t>
        </is>
      </c>
    </row>
    <row r="39">
      <c r="B39" s="75" t="n"/>
    </row>
    <row r="40" customFormat="1" s="76"/>
  </sheetData>
  <mergeCells count="5">
    <mergeCell ref="M7:N7"/>
    <mergeCell ref="G7:H7"/>
    <mergeCell ref="P7:Q7"/>
    <mergeCell ref="S7:T7"/>
    <mergeCell ref="J7:K7"/>
  </mergeCells>
  <pageMargins left="0.7" right="0.7" top="0.75" bottom="0.75" header="0.3" footer="0.3"/>
  <pageSetup orientation="landscape" paperSize="8" scale="53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tabColor theme="4"/>
    <outlinePr summaryBelow="1" summaryRight="1"/>
    <pageSetUpPr/>
  </sheetPr>
  <dimension ref="B2:M34"/>
  <sheetViews>
    <sheetView showGridLines="0" zoomScale="85" zoomScaleNormal="85" workbookViewId="0">
      <selection activeCell="L41" sqref="L41"/>
    </sheetView>
  </sheetViews>
  <sheetFormatPr baseColWidth="10" defaultColWidth="9" defaultRowHeight="12" outlineLevelCol="0"/>
  <cols>
    <col width="9" customWidth="1" style="27" min="1" max="16384"/>
  </cols>
  <sheetData>
    <row r="2">
      <c r="D2" s="215">
        <f>IF(説明用アウトプットシート!G7="","",説明用アウトプットシート!G7)</f>
        <v/>
      </c>
      <c r="F2" s="215">
        <f>IF(説明用アウトプットシート!J7="","",説明用アウトプットシート!J7)</f>
        <v/>
      </c>
      <c r="H2" s="215">
        <f>IF(説明用アウトプットシート!M7="","",説明用アウトプットシート!M7)</f>
        <v/>
      </c>
      <c r="J2" s="215">
        <f>IF(説明用アウトプットシート!P7="","",説明用アウトプットシート!P7)</f>
        <v/>
      </c>
      <c r="L2" s="215">
        <f>IF(説明用アウトプットシート!S7="","",説明用アウトプットシート!S7)</f>
        <v/>
      </c>
    </row>
    <row r="3" ht="13" customHeight="1" s="302">
      <c r="B3" s="28" t="inlineStr">
        <is>
          <t>事業方式</t>
        </is>
      </c>
      <c r="D3" s="215">
        <f>IF($D2="","",TEXT($D2,"")&amp;"(PSC)")</f>
        <v/>
      </c>
      <c r="E3" s="215">
        <f>IF($D2="","",TEXT($D2,"")&amp;"(PFI-LCC)")</f>
        <v/>
      </c>
      <c r="F3" s="215">
        <f>IF($F2="","",TEXT($F2,"")&amp;"(PSC)")</f>
        <v/>
      </c>
      <c r="G3" s="215">
        <f>IF($F2="","",TEXT($F2,"")&amp;"(PFI-LCC)")</f>
        <v/>
      </c>
      <c r="H3" s="215">
        <f>IF($H2="","",TEXT($H2,"")&amp;"(PSC)")</f>
        <v/>
      </c>
      <c r="I3" s="215">
        <f>IF($H2="","",TEXT($H2,"")&amp;"(PFI-LCC)")</f>
        <v/>
      </c>
      <c r="J3" s="215">
        <f>IF($J2="","",TEXT($J2,"")&amp;"(PSC)")</f>
        <v/>
      </c>
      <c r="K3" s="215">
        <f>IF($J2="","",TEXT($J2,"")&amp;"(PFI-LCC)")</f>
        <v/>
      </c>
      <c r="L3" s="215">
        <f>IF($L2="","",TEXT($L2,"")&amp;"(PSC)")</f>
        <v/>
      </c>
      <c r="M3" s="215">
        <f>IF($L2="","",TEXT($L2,"")&amp;"(PFI-LCC)")</f>
        <v/>
      </c>
    </row>
    <row r="4">
      <c r="B4" s="27" t="inlineStr">
        <is>
          <t>DB</t>
        </is>
      </c>
      <c r="C4" s="27" t="n">
        <v>1</v>
      </c>
      <c r="D4" s="438">
        <f t="array" ref="D4">-IFERROR(_xlfn.IFS(D$2="DB",DB!$AJ17,D$2="BT",BT!$AJ17,D$2="DBO",DBO!$AJ17,D$2="BTO",BTO!$AJ17,D$2="BOT/BOO",BOT・BOO!$AJ17),0)</f>
        <v/>
      </c>
      <c r="E4" s="438">
        <f t="array" ref="E4">-IFERROR(_xlfn.IFS(D$2="DB",DB!$BC17,D$2="BT",BT!$BC17,D$2="DBO",DBO!$BC17,D$2="BTO",BTO!$BC17,D$2="BOT/BOO",BOT・BOO!$BC17),0)</f>
        <v/>
      </c>
      <c r="F4" s="438">
        <f t="array" ref="F4">-IFERROR(_xlfn.IFS(F$2="DB",DB!$AJ17,F$2="BT",BT!$AJ17,F$2="DBO",DBO!$AJ17,F$2="BTO",BTO!$AJ17,F$2="BOT/BOO",BOT・BOO!$AJ17),0)</f>
        <v/>
      </c>
      <c r="G4" s="438">
        <f t="array" ref="G4">-IFERROR(_xlfn.IFS(F$2="DB",DB!$BC17,F$2="BT",BT!$BC17,F$2="DBO",DBO!$BC17,F$2="BTO",BTO!$BC17,F$2="BOT/BOO",BOT・BOO!$BC17),0)</f>
        <v/>
      </c>
      <c r="H4" s="438">
        <f t="array" ref="H4">-IFERROR(_xlfn.IFS(H$2="DB",DB!$AJ17,H$2="BT",BT!$AJ17,H$2="DBO",DBO!$AJ17,H$2="BTO",BTO!$AJ17,H$2="BOT/BOO",BOT・BOO!$AJ17),0)</f>
        <v/>
      </c>
      <c r="I4" s="438">
        <f t="array" ref="I4">-IFERROR(_xlfn.IFS(H$2="DB",DB!$BC17,H$2="BT",BT!$BC17,H$2="DBO",DBO!$BC17,H$2="BTO",BTO!$BC17,H$2="BOT/BOO",BOT・BOO!$BC17),0)</f>
        <v/>
      </c>
      <c r="J4" s="438">
        <f t="array" ref="J4">-IFERROR(_xlfn.IFS(J$2="DB",DB!$AJ17,J$2="BT",BT!$AJ17,J$2="DBO",DBO!$AJ17,J$2="BTO",BTO!$AJ17,J$2="BOT/BOO",BOT・BOO!$AJ17),0)</f>
        <v/>
      </c>
      <c r="K4" s="438">
        <f t="array" ref="K4">-IFERROR(_xlfn.IFS(J$2="DB",DB!$BC17,J$2="BT",BT!$BC17,J$2="DBO",DBO!$BC17,J$2="BTO",BTO!$BC17,J$2="BOT/BOO",BOT・BOO!$BC17),0)</f>
        <v/>
      </c>
      <c r="L4" s="438">
        <f t="array" ref="L4">-IFERROR(_xlfn.IFS(L$2="DB",DB!$AJ17,L$2="BT",BT!$AJ17,L$2="DBO",DBO!$AJ17,L$2="BTO",BTO!$AJ17,L$2="BOT/BOO",BOT・BOO!$AJ17),0)</f>
        <v/>
      </c>
      <c r="M4" s="438">
        <f t="array" ref="M4">-IFERROR(_xlfn.IFS(L$2="DB",DB!$BC17,L$2="BT",BT!$BC17,L$2="DBO",DBO!$BC17,L$2="BTO",BTO!$BC17,L$2="BOT/BOO",BOT・BOO!$BC17),0)</f>
        <v/>
      </c>
    </row>
    <row r="5">
      <c r="B5" s="27" t="inlineStr">
        <is>
          <t>DBO</t>
        </is>
      </c>
      <c r="C5" s="27" t="n">
        <v>2</v>
      </c>
      <c r="D5" s="438">
        <f t="array" ref="D5">-IFERROR(_xlfn.IFS(D$2="DB",DB!$AJ18,D$2="BT",BT!$AJ18,D$2="DBO",DBO!$AJ18,D$2="BTO",BTO!$AJ18,D$2="BOT/BOO",BOT・BOO!$AJ18),0)</f>
        <v/>
      </c>
      <c r="E5" s="438">
        <f t="array" ref="E5">-IFERROR(_xlfn.IFS(D$2="DB",DB!$BC18,D$2="BT",BT!$BC18,D$2="DBO",DBO!$BC18,D$2="BTO",BTO!$BC18,D$2="BOT/BOO",BOT・BOO!$BC18),0)</f>
        <v/>
      </c>
      <c r="F5" s="438">
        <f t="array" ref="F5">-IFERROR(_xlfn.IFS(F$2="DB",DB!$AJ18,F$2="BT",BT!$AJ18,F$2="DBO",DBO!$AJ18,F$2="BTO",BTO!$AJ18,F$2="BOT/BOO",BOT・BOO!$AJ18),0)</f>
        <v/>
      </c>
      <c r="G5" s="438">
        <f t="array" ref="G5">-IFERROR(_xlfn.IFS(F$2="DB",DB!$BC18,F$2="BT",BT!$BC18,F$2="DBO",DBO!$BC18,F$2="BTO",BTO!$BC18,F$2="BOT/BOO",BOT・BOO!$BC18),0)</f>
        <v/>
      </c>
      <c r="H5" s="438">
        <f t="array" ref="H5">-IFERROR(_xlfn.IFS(H$2="DB",DB!$AJ18,H$2="BT",BT!$AJ18,H$2="DBO",DBO!$AJ18,H$2="BTO",BTO!$AJ18,H$2="BOT/BOO",BOT・BOO!$AJ18),0)</f>
        <v/>
      </c>
      <c r="I5" s="438">
        <f t="array" ref="I5">-IFERROR(_xlfn.IFS(H$2="DB",DB!$BC18,H$2="BT",BT!$BC18,H$2="DBO",DBO!$BC18,H$2="BTO",BTO!$BC18,H$2="BOT/BOO",BOT・BOO!$BC18),0)</f>
        <v/>
      </c>
      <c r="J5" s="438">
        <f t="array" ref="J5">-IFERROR(_xlfn.IFS(J$2="DB",DB!$AJ18,J$2="BT",BT!$AJ18,J$2="DBO",DBO!$AJ18,J$2="BTO",BTO!$AJ18,J$2="BOT/BOO",BOT・BOO!$AJ18),0)</f>
        <v/>
      </c>
      <c r="K5" s="438">
        <f t="array" ref="K5">-IFERROR(_xlfn.IFS(J$2="DB",DB!$BC18,J$2="BT",BT!$BC18,J$2="DBO",DBO!$BC18,J$2="BTO",BTO!$BC18,J$2="BOT/BOO",BOT・BOO!$BC18),0)</f>
        <v/>
      </c>
      <c r="L5" s="438">
        <f t="array" ref="L5">-IFERROR(_xlfn.IFS(L$2="DB",DB!$AJ18,L$2="BT",BT!$AJ18,L$2="DBO",DBO!$AJ18,L$2="BTO",BTO!$AJ18,L$2="BOT/BOO",BOT・BOO!$AJ18),0)</f>
        <v/>
      </c>
      <c r="M5" s="438">
        <f t="array" ref="M5">-IFERROR(_xlfn.IFS(L$2="DB",DB!$BC18,L$2="BT",BT!$BC18,L$2="DBO",DBO!$BC18,L$2="BTO",BTO!$BC18,L$2="BOT/BOO",BOT・BOO!$BC18),0)</f>
        <v/>
      </c>
    </row>
    <row r="6">
      <c r="B6" s="27" t="inlineStr">
        <is>
          <t>BT</t>
        </is>
      </c>
      <c r="C6" s="27" t="n">
        <v>3</v>
      </c>
      <c r="D6" s="438">
        <f t="array" ref="D6">-IFERROR(_xlfn.IFS(D$2="DB",DB!$AJ19,D$2="BT",BT!$AJ19,D$2="DBO",DBO!$AJ19,D$2="BTO",BTO!$AJ19,D$2="BOT/BOO",BOT・BOO!$AJ19),0)</f>
        <v/>
      </c>
      <c r="E6" s="438">
        <f t="array" ref="E6">-IFERROR(_xlfn.IFS(D$2="DB",DB!$BC19,D$2="BT",BT!$BC19,D$2="DBO",DBO!$BC19,D$2="BTO",BTO!$BC19,D$2="BOT/BOO",BOT・BOO!$BC19),0)</f>
        <v/>
      </c>
      <c r="F6" s="438">
        <f t="array" ref="F6">-IFERROR(_xlfn.IFS(F$2="DB",DB!$AJ19,F$2="BT",BT!$AJ19,F$2="DBO",DBO!$AJ19,F$2="BTO",BTO!$AJ19,F$2="BOT/BOO",BOT・BOO!$AJ19),0)</f>
        <v/>
      </c>
      <c r="G6" s="438">
        <f t="array" ref="G6">-IFERROR(_xlfn.IFS(F$2="DB",DB!$BC19,F$2="BT",BT!$BC19,F$2="DBO",DBO!$BC19,F$2="BTO",BTO!$BC19,F$2="BOT/BOO",BOT・BOO!$BC19),0)</f>
        <v/>
      </c>
      <c r="H6" s="438">
        <f t="array" ref="H6">-IFERROR(_xlfn.IFS(H$2="DB",DB!$AJ19,H$2="BT",BT!$AJ19,H$2="DBO",DBO!$AJ19,H$2="BTO",BTO!$AJ19,H$2="BOT/BOO",BOT・BOO!$AJ19),0)</f>
        <v/>
      </c>
      <c r="I6" s="438">
        <f t="array" ref="I6">-IFERROR(_xlfn.IFS(H$2="DB",DB!$BC19,H$2="BT",BT!$BC19,H$2="DBO",DBO!$BC19,H$2="BTO",BTO!$BC19,H$2="BOT/BOO",BOT・BOO!$BC19),0)</f>
        <v/>
      </c>
      <c r="J6" s="438">
        <f t="array" ref="J6">-IFERROR(_xlfn.IFS(J$2="DB",DB!$AJ19,J$2="BT",BT!$AJ19,J$2="DBO",DBO!$AJ19,J$2="BTO",BTO!$AJ19,J$2="BOT/BOO",BOT・BOO!$AJ19),0)</f>
        <v/>
      </c>
      <c r="K6" s="438">
        <f t="array" ref="K6">-IFERROR(_xlfn.IFS(J$2="DB",DB!$BC19,J$2="BT",BT!$BC19,J$2="DBO",DBO!$BC19,J$2="BTO",BTO!$BC19,J$2="BOT/BOO",BOT・BOO!$BC19),0)</f>
        <v/>
      </c>
      <c r="L6" s="438">
        <f t="array" ref="L6">-IFERROR(_xlfn.IFS(L$2="DB",DB!$AJ19,L$2="BT",BT!$AJ19,L$2="DBO",DBO!$AJ19,L$2="BTO",BTO!$AJ19,L$2="BOT/BOO",BOT・BOO!$AJ19),0)</f>
        <v/>
      </c>
      <c r="M6" s="438">
        <f t="array" ref="M6">-IFERROR(_xlfn.IFS(L$2="DB",DB!$BC19,L$2="BT",BT!$BC19,L$2="DBO",DBO!$BC19,L$2="BTO",BTO!$BC19,L$2="BOT/BOO",BOT・BOO!$BC19),0)</f>
        <v/>
      </c>
    </row>
    <row r="7">
      <c r="B7" s="27" t="inlineStr">
        <is>
          <t>BTO</t>
        </is>
      </c>
      <c r="C7" s="27" t="n">
        <v>4</v>
      </c>
      <c r="D7" s="438">
        <f t="array" ref="D7">-IFERROR(_xlfn.IFS(D$2="DB",DB!$AJ20,D$2="BT",BT!$AJ20,D$2="DBO",DBO!$AJ20,D$2="BTO",BTO!$AJ20,D$2="BOT/BOO",BOT・BOO!$AJ20),0)</f>
        <v/>
      </c>
      <c r="E7" s="438">
        <f t="array" ref="E7">-IFERROR(_xlfn.IFS(D$2="DB",DB!$BC20,D$2="BT",BT!$BC20,D$2="DBO",DBO!$BC20,D$2="BTO",BTO!$BC20,D$2="BOT/BOO",BOT・BOO!$BC20),0)</f>
        <v/>
      </c>
      <c r="F7" s="438">
        <f t="array" ref="F7">-IFERROR(_xlfn.IFS(F$2="DB",DB!$AJ20,F$2="BT",BT!$AJ20,F$2="DBO",DBO!$AJ20,F$2="BTO",BTO!$AJ20,F$2="BOT/BOO",BOT・BOO!$AJ20),0)</f>
        <v/>
      </c>
      <c r="G7" s="438">
        <f t="array" ref="G7">-IFERROR(_xlfn.IFS(F$2="DB",DB!$BC20,F$2="BT",BT!$BC20,F$2="DBO",DBO!$BC20,F$2="BTO",BTO!$BC20,F$2="BOT/BOO",BOT・BOO!$BC20),0)</f>
        <v/>
      </c>
      <c r="H7" s="438">
        <f t="array" ref="H7">-IFERROR(_xlfn.IFS(H$2="DB",DB!$AJ20,H$2="BT",BT!$AJ20,H$2="DBO",DBO!$AJ20,H$2="BTO",BTO!$AJ20,H$2="BOT/BOO",BOT・BOO!$AJ20),0)</f>
        <v/>
      </c>
      <c r="I7" s="438">
        <f t="array" ref="I7">-IFERROR(_xlfn.IFS(H$2="DB",DB!$BC20,H$2="BT",BT!$BC20,H$2="DBO",DBO!$BC20,H$2="BTO",BTO!$BC20,H$2="BOT/BOO",BOT・BOO!$BC20),0)</f>
        <v/>
      </c>
      <c r="J7" s="438">
        <f t="array" ref="J7">-IFERROR(_xlfn.IFS(J$2="DB",DB!$AJ20,J$2="BT",BT!$AJ20,J$2="DBO",DBO!$AJ20,J$2="BTO",BTO!$AJ20,J$2="BOT/BOO",BOT・BOO!$AJ20),0)</f>
        <v/>
      </c>
      <c r="K7" s="438">
        <f t="array" ref="K7">-IFERROR(_xlfn.IFS(J$2="DB",DB!$BC20,J$2="BT",BT!$BC20,J$2="DBO",DBO!$BC20,J$2="BTO",BTO!$BC20,J$2="BOT/BOO",BOT・BOO!$BC20),0)</f>
        <v/>
      </c>
      <c r="L7" s="438">
        <f t="array" ref="L7">-IFERROR(_xlfn.IFS(L$2="DB",DB!$AJ20,L$2="BT",BT!$AJ20,L$2="DBO",DBO!$AJ20,L$2="BTO",BTO!$AJ20,L$2="BOT/BOO",BOT・BOO!$AJ20),0)</f>
        <v/>
      </c>
      <c r="M7" s="438">
        <f t="array" ref="M7">-IFERROR(_xlfn.IFS(L$2="DB",DB!$BC20,L$2="BT",BT!$BC20,L$2="DBO",DBO!$BC20,L$2="BTO",BTO!$BC20,L$2="BOT/BOO",BOT・BOO!$BC20),0)</f>
        <v/>
      </c>
    </row>
    <row r="8">
      <c r="B8" s="27" t="inlineStr">
        <is>
          <t>BOT/BOO</t>
        </is>
      </c>
      <c r="C8" s="27" t="n">
        <v>5</v>
      </c>
      <c r="D8" s="438">
        <f t="array" ref="D8">-IFERROR(_xlfn.IFS(D$2="DB",DB!$AJ21,D$2="BT",BT!$AJ21,D$2="DBO",DBO!$AJ21,D$2="BTO",BTO!$AJ21,D$2="BOT/BOO",BOT・BOO!$AJ21),0)</f>
        <v/>
      </c>
      <c r="E8" s="438">
        <f t="array" ref="E8">-IFERROR(_xlfn.IFS(D$2="DB",DB!$BC21,D$2="BT",BT!$BC21,D$2="DBO",DBO!$BC21,D$2="BTO",BTO!$BC21,D$2="BOT/BOO",BOT・BOO!$BC21),0)</f>
        <v/>
      </c>
      <c r="F8" s="438">
        <f t="array" ref="F8">-IFERROR(_xlfn.IFS(F$2="DB",DB!$AJ21,F$2="BT",BT!$AJ21,F$2="DBO",DBO!$AJ21,F$2="BTO",BTO!$AJ21,F$2="BOT/BOO",BOT・BOO!$AJ21),0)</f>
        <v/>
      </c>
      <c r="G8" s="438">
        <f t="array" ref="G8">-IFERROR(_xlfn.IFS(F$2="DB",DB!$BC21,F$2="BT",BT!$BC21,F$2="DBO",DBO!$BC21,F$2="BTO",BTO!$BC21,F$2="BOT/BOO",BOT・BOO!$BC21),0)</f>
        <v/>
      </c>
      <c r="H8" s="438">
        <f t="array" ref="H8">-IFERROR(_xlfn.IFS(H$2="DB",DB!$AJ21,H$2="BT",BT!$AJ21,H$2="DBO",DBO!$AJ21,H$2="BTO",BTO!$AJ21,H$2="BOT/BOO",BOT・BOO!$AJ21),0)</f>
        <v/>
      </c>
      <c r="I8" s="438">
        <f t="array" ref="I8">-IFERROR(_xlfn.IFS(H$2="DB",DB!$BC21,H$2="BT",BT!$BC21,H$2="DBO",DBO!$BC21,H$2="BTO",BTO!$BC21,H$2="BOT/BOO",BOT・BOO!$BC21),0)</f>
        <v/>
      </c>
      <c r="J8" s="438">
        <f t="array" ref="J8">-IFERROR(_xlfn.IFS(J$2="DB",DB!$AJ21,J$2="BT",BT!$AJ21,J$2="DBO",DBO!$AJ21,J$2="BTO",BTO!$AJ21,J$2="BOT/BOO",BOT・BOO!$AJ21),0)</f>
        <v/>
      </c>
      <c r="K8" s="438">
        <f t="array" ref="K8">-IFERROR(_xlfn.IFS(J$2="DB",DB!$BC21,J$2="BT",BT!$BC21,J$2="DBO",DBO!$BC21,J$2="BTO",BTO!$BC21,J$2="BOT/BOO",BOT・BOO!$BC21),0)</f>
        <v/>
      </c>
      <c r="L8" s="438">
        <f t="array" ref="L8">-IFERROR(_xlfn.IFS(L$2="DB",DB!$AJ21,L$2="BT",BT!$AJ21,L$2="DBO",DBO!$AJ21,L$2="BTO",BTO!$AJ21,L$2="BOT/BOO",BOT・BOO!$AJ21),0)</f>
        <v/>
      </c>
      <c r="M8" s="438">
        <f t="array" ref="M8">-IFERROR(_xlfn.IFS(L$2="DB",DB!$BC21,L$2="BT",BT!$BC21,L$2="DBO",DBO!$BC21,L$2="BTO",BTO!$BC21,L$2="BOT/BOO",BOT・BOO!$BC21),0)</f>
        <v/>
      </c>
    </row>
    <row r="9">
      <c r="C9" s="27" t="n">
        <v>6</v>
      </c>
      <c r="D9" s="438">
        <f t="array" ref="D9">-IFERROR(_xlfn.IFS(D$2="DB",DB!$AJ22,D$2="BT",BT!$AJ22,D$2="DBO",DBO!$AJ22,D$2="BTO",BTO!$AJ22,D$2="BOT/BOO",BOT・BOO!$AJ22),0)</f>
        <v/>
      </c>
      <c r="E9" s="438">
        <f t="array" ref="E9">-IFERROR(_xlfn.IFS(D$2="DB",DB!$BC22,D$2="BT",BT!$BC22,D$2="DBO",DBO!$BC22,D$2="BTO",BTO!$BC22,D$2="BOT/BOO",BOT・BOO!$BC22),0)</f>
        <v/>
      </c>
      <c r="F9" s="438">
        <f t="array" ref="F9">-IFERROR(_xlfn.IFS(F$2="DB",DB!$AJ22,F$2="BT",BT!$AJ22,F$2="DBO",DBO!$AJ22,F$2="BTO",BTO!$AJ22,F$2="BOT/BOO",BOT・BOO!$AJ22),0)</f>
        <v/>
      </c>
      <c r="G9" s="438">
        <f t="array" ref="G9">-IFERROR(_xlfn.IFS(F$2="DB",DB!$BC22,F$2="BT",BT!$BC22,F$2="DBO",DBO!$BC22,F$2="BTO",BTO!$BC22,F$2="BOT/BOO",BOT・BOO!$BC22),0)</f>
        <v/>
      </c>
      <c r="H9" s="438">
        <f t="array" ref="H9">-IFERROR(_xlfn.IFS(H$2="DB",DB!$AJ22,H$2="BT",BT!$AJ22,H$2="DBO",DBO!$AJ22,H$2="BTO",BTO!$AJ22,H$2="BOT/BOO",BOT・BOO!$AJ22),0)</f>
        <v/>
      </c>
      <c r="I9" s="438">
        <f t="array" ref="I9">-IFERROR(_xlfn.IFS(H$2="DB",DB!$BC22,H$2="BT",BT!$BC22,H$2="DBO",DBO!$BC22,H$2="BTO",BTO!$BC22,H$2="BOT/BOO",BOT・BOO!$BC22),0)</f>
        <v/>
      </c>
      <c r="J9" s="438">
        <f t="array" ref="J9">-IFERROR(_xlfn.IFS(J$2="DB",DB!$AJ22,J$2="BT",BT!$AJ22,J$2="DBO",DBO!$AJ22,J$2="BTO",BTO!$AJ22,J$2="BOT/BOO",BOT・BOO!$AJ22),0)</f>
        <v/>
      </c>
      <c r="K9" s="438">
        <f t="array" ref="K9">-IFERROR(_xlfn.IFS(J$2="DB",DB!$BC22,J$2="BT",BT!$BC22,J$2="DBO",DBO!$BC22,J$2="BTO",BTO!$BC22,J$2="BOT/BOO",BOT・BOO!$BC22),0)</f>
        <v/>
      </c>
      <c r="L9" s="438">
        <f t="array" ref="L9">-IFERROR(_xlfn.IFS(L$2="DB",DB!$AJ22,L$2="BT",BT!$AJ22,L$2="DBO",DBO!$AJ22,L$2="BTO",BTO!$AJ22,L$2="BOT/BOO",BOT・BOO!$AJ22),0)</f>
        <v/>
      </c>
      <c r="M9" s="438">
        <f t="array" ref="M9">-IFERROR(_xlfn.IFS(L$2="DB",DB!$BC22,L$2="BT",BT!$BC22,L$2="DBO",DBO!$BC22,L$2="BTO",BTO!$BC22,L$2="BOT/BOO",BOT・BOO!$BC22),0)</f>
        <v/>
      </c>
    </row>
    <row r="10">
      <c r="C10" s="27" t="n">
        <v>7</v>
      </c>
      <c r="D10" s="438">
        <f t="array" ref="D10">-IFERROR(_xlfn.IFS(D$2="DB",DB!$AJ23,D$2="BT",BT!$AJ23,D$2="DBO",DBO!$AJ23,D$2="BTO",BTO!$AJ23,D$2="BOT/BOO",BOT・BOO!$AJ23),0)</f>
        <v/>
      </c>
      <c r="E10" s="438">
        <f t="array" ref="E10">-IFERROR(_xlfn.IFS(D$2="DB",DB!$BC23,D$2="BT",BT!$BC23,D$2="DBO",DBO!$BC23,D$2="BTO",BTO!$BC23,D$2="BOT/BOO",BOT・BOO!$BC23),0)</f>
        <v/>
      </c>
      <c r="F10" s="438">
        <f t="array" ref="F10">-IFERROR(_xlfn.IFS(F$2="DB",DB!$AJ23,F$2="BT",BT!$AJ23,F$2="DBO",DBO!$AJ23,F$2="BTO",BTO!$AJ23,F$2="BOT/BOO",BOT・BOO!$AJ23),0)</f>
        <v/>
      </c>
      <c r="G10" s="438">
        <f t="array" ref="G10">-IFERROR(_xlfn.IFS(F$2="DB",DB!$BC23,F$2="BT",BT!$BC23,F$2="DBO",DBO!$BC23,F$2="BTO",BTO!$BC23,F$2="BOT/BOO",BOT・BOO!$BC23),0)</f>
        <v/>
      </c>
      <c r="H10" s="438">
        <f t="array" ref="H10">-IFERROR(_xlfn.IFS(H$2="DB",DB!$AJ23,H$2="BT",BT!$AJ23,H$2="DBO",DBO!$AJ23,H$2="BTO",BTO!$AJ23,H$2="BOT/BOO",BOT・BOO!$AJ23),0)</f>
        <v/>
      </c>
      <c r="I10" s="438">
        <f t="array" ref="I10">-IFERROR(_xlfn.IFS(H$2="DB",DB!$BC23,H$2="BT",BT!$BC23,H$2="DBO",DBO!$BC23,H$2="BTO",BTO!$BC23,H$2="BOT/BOO",BOT・BOO!$BC23),0)</f>
        <v/>
      </c>
      <c r="J10" s="438">
        <f t="array" ref="J10">-IFERROR(_xlfn.IFS(J$2="DB",DB!$AJ23,J$2="BT",BT!$AJ23,J$2="DBO",DBO!$AJ23,J$2="BTO",BTO!$AJ23,J$2="BOT/BOO",BOT・BOO!$AJ23),0)</f>
        <v/>
      </c>
      <c r="K10" s="438">
        <f t="array" ref="K10">-IFERROR(_xlfn.IFS(J$2="DB",DB!$BC23,J$2="BT",BT!$BC23,J$2="DBO",DBO!$BC23,J$2="BTO",BTO!$BC23,J$2="BOT/BOO",BOT・BOO!$BC23),0)</f>
        <v/>
      </c>
      <c r="L10" s="438">
        <f t="array" ref="L10">-IFERROR(_xlfn.IFS(L$2="DB",DB!$AJ23,L$2="BT",BT!$AJ23,L$2="DBO",DBO!$AJ23,L$2="BTO",BTO!$AJ23,L$2="BOT/BOO",BOT・BOO!$AJ23),0)</f>
        <v/>
      </c>
      <c r="M10" s="438">
        <f t="array" ref="M10">-IFERROR(_xlfn.IFS(L$2="DB",DB!$BC23,L$2="BT",BT!$BC23,L$2="DBO",DBO!$BC23,L$2="BTO",BTO!$BC23,L$2="BOT/BOO",BOT・BOO!$BC23),0)</f>
        <v/>
      </c>
    </row>
    <row r="11">
      <c r="C11" s="27" t="n">
        <v>8</v>
      </c>
      <c r="D11" s="438">
        <f t="array" ref="D11">-IFERROR(_xlfn.IFS(D$2="DB",DB!$AJ24,D$2="BT",BT!$AJ24,D$2="DBO",DBO!$AJ24,D$2="BTO",BTO!$AJ24,D$2="BOT/BOO",BOT・BOO!$AJ24),0)</f>
        <v/>
      </c>
      <c r="E11" s="438">
        <f t="array" ref="E11">-IFERROR(_xlfn.IFS(D$2="DB",DB!$BC24,D$2="BT",BT!$BC24,D$2="DBO",DBO!$BC24,D$2="BTO",BTO!$BC24,D$2="BOT/BOO",BOT・BOO!$BC24),0)</f>
        <v/>
      </c>
      <c r="F11" s="438">
        <f t="array" ref="F11">-IFERROR(_xlfn.IFS(F$2="DB",DB!$AJ24,F$2="BT",BT!$AJ24,F$2="DBO",DBO!$AJ24,F$2="BTO",BTO!$AJ24,F$2="BOT/BOO",BOT・BOO!$AJ24),0)</f>
        <v/>
      </c>
      <c r="G11" s="438">
        <f t="array" ref="G11">-IFERROR(_xlfn.IFS(F$2="DB",DB!$BC24,F$2="BT",BT!$BC24,F$2="DBO",DBO!$BC24,F$2="BTO",BTO!$BC24,F$2="BOT/BOO",BOT・BOO!$BC24),0)</f>
        <v/>
      </c>
      <c r="H11" s="438">
        <f t="array" ref="H11">-IFERROR(_xlfn.IFS(H$2="DB",DB!$AJ24,H$2="BT",BT!$AJ24,H$2="DBO",DBO!$AJ24,H$2="BTO",BTO!$AJ24,H$2="BOT/BOO",BOT・BOO!$AJ24),0)</f>
        <v/>
      </c>
      <c r="I11" s="438">
        <f t="array" ref="I11">-IFERROR(_xlfn.IFS(H$2="DB",DB!$BC24,H$2="BT",BT!$BC24,H$2="DBO",DBO!$BC24,H$2="BTO",BTO!$BC24,H$2="BOT/BOO",BOT・BOO!$BC24),0)</f>
        <v/>
      </c>
      <c r="J11" s="438">
        <f t="array" ref="J11">-IFERROR(_xlfn.IFS(J$2="DB",DB!$AJ24,J$2="BT",BT!$AJ24,J$2="DBO",DBO!$AJ24,J$2="BTO",BTO!$AJ24,J$2="BOT/BOO",BOT・BOO!$AJ24),0)</f>
        <v/>
      </c>
      <c r="K11" s="438">
        <f t="array" ref="K11">-IFERROR(_xlfn.IFS(J$2="DB",DB!$BC24,J$2="BT",BT!$BC24,J$2="DBO",DBO!$BC24,J$2="BTO",BTO!$BC24,J$2="BOT/BOO",BOT・BOO!$BC24),0)</f>
        <v/>
      </c>
      <c r="L11" s="438">
        <f t="array" ref="L11">-IFERROR(_xlfn.IFS(L$2="DB",DB!$AJ24,L$2="BT",BT!$AJ24,L$2="DBO",DBO!$AJ24,L$2="BTO",BTO!$AJ24,L$2="BOT/BOO",BOT・BOO!$AJ24),0)</f>
        <v/>
      </c>
      <c r="M11" s="438">
        <f t="array" ref="M11">-IFERROR(_xlfn.IFS(L$2="DB",DB!$BC24,L$2="BT",BT!$BC24,L$2="DBO",DBO!$BC24,L$2="BTO",BTO!$BC24,L$2="BOT/BOO",BOT・BOO!$BC24),0)</f>
        <v/>
      </c>
    </row>
    <row r="12">
      <c r="C12" s="27" t="n">
        <v>9</v>
      </c>
      <c r="D12" s="438">
        <f t="array" ref="D12">-IFERROR(_xlfn.IFS(D$2="DB",DB!$AJ25,D$2="BT",BT!$AJ25,D$2="DBO",DBO!$AJ25,D$2="BTO",BTO!$AJ25,D$2="BOT/BOO",BOT・BOO!$AJ25),0)</f>
        <v/>
      </c>
      <c r="E12" s="438">
        <f t="array" ref="E12">-IFERROR(_xlfn.IFS(D$2="DB",DB!$BC25,D$2="BT",BT!$BC25,D$2="DBO",DBO!$BC25,D$2="BTO",BTO!$BC25,D$2="BOT/BOO",BOT・BOO!$BC25),0)</f>
        <v/>
      </c>
      <c r="F12" s="438">
        <f t="array" ref="F12">-IFERROR(_xlfn.IFS(F$2="DB",DB!$AJ25,F$2="BT",BT!$AJ25,F$2="DBO",DBO!$AJ25,F$2="BTO",BTO!$AJ25,F$2="BOT/BOO",BOT・BOO!$AJ25),0)</f>
        <v/>
      </c>
      <c r="G12" s="438">
        <f t="array" ref="G12">-IFERROR(_xlfn.IFS(F$2="DB",DB!$BC25,F$2="BT",BT!$BC25,F$2="DBO",DBO!$BC25,F$2="BTO",BTO!$BC25,F$2="BOT/BOO",BOT・BOO!$BC25),0)</f>
        <v/>
      </c>
      <c r="H12" s="438">
        <f t="array" ref="H12">-IFERROR(_xlfn.IFS(H$2="DB",DB!$AJ25,H$2="BT",BT!$AJ25,H$2="DBO",DBO!$AJ25,H$2="BTO",BTO!$AJ25,H$2="BOT/BOO",BOT・BOO!$AJ25),0)</f>
        <v/>
      </c>
      <c r="I12" s="438">
        <f t="array" ref="I12">-IFERROR(_xlfn.IFS(H$2="DB",DB!$BC25,H$2="BT",BT!$BC25,H$2="DBO",DBO!$BC25,H$2="BTO",BTO!$BC25,H$2="BOT/BOO",BOT・BOO!$BC25),0)</f>
        <v/>
      </c>
      <c r="J12" s="438">
        <f t="array" ref="J12">-IFERROR(_xlfn.IFS(J$2="DB",DB!$AJ25,J$2="BT",BT!$AJ25,J$2="DBO",DBO!$AJ25,J$2="BTO",BTO!$AJ25,J$2="BOT/BOO",BOT・BOO!$AJ25),0)</f>
        <v/>
      </c>
      <c r="K12" s="438">
        <f t="array" ref="K12">-IFERROR(_xlfn.IFS(J$2="DB",DB!$BC25,J$2="BT",BT!$BC25,J$2="DBO",DBO!$BC25,J$2="BTO",BTO!$BC25,J$2="BOT/BOO",BOT・BOO!$BC25),0)</f>
        <v/>
      </c>
      <c r="L12" s="438">
        <f t="array" ref="L12">-IFERROR(_xlfn.IFS(L$2="DB",DB!$AJ25,L$2="BT",BT!$AJ25,L$2="DBO",DBO!$AJ25,L$2="BTO",BTO!$AJ25,L$2="BOT/BOO",BOT・BOO!$AJ25),0)</f>
        <v/>
      </c>
      <c r="M12" s="438">
        <f t="array" ref="M12">-IFERROR(_xlfn.IFS(L$2="DB",DB!$BC25,L$2="BT",BT!$BC25,L$2="DBO",DBO!$BC25,L$2="BTO",BTO!$BC25,L$2="BOT/BOO",BOT・BOO!$BC25),0)</f>
        <v/>
      </c>
    </row>
    <row r="13">
      <c r="C13" s="27" t="n">
        <v>10</v>
      </c>
      <c r="D13" s="438">
        <f t="array" ref="D13">-IFERROR(_xlfn.IFS(D$2="DB",DB!$AJ26,D$2="BT",BT!$AJ26,D$2="DBO",DBO!$AJ26,D$2="BTO",BTO!$AJ26,D$2="BOT/BOO",BOT・BOO!$AJ26),0)</f>
        <v/>
      </c>
      <c r="E13" s="438">
        <f t="array" ref="E13">-IFERROR(_xlfn.IFS(D$2="DB",DB!$BC26,D$2="BT",BT!$BC26,D$2="DBO",DBO!$BC26,D$2="BTO",BTO!$BC26,D$2="BOT/BOO",BOT・BOO!$BC26),0)</f>
        <v/>
      </c>
      <c r="F13" s="438">
        <f t="array" ref="F13">-IFERROR(_xlfn.IFS(F$2="DB",DB!$AJ26,F$2="BT",BT!$AJ26,F$2="DBO",DBO!$AJ26,F$2="BTO",BTO!$AJ26,F$2="BOT/BOO",BOT・BOO!$AJ26),0)</f>
        <v/>
      </c>
      <c r="G13" s="438">
        <f t="array" ref="G13">-IFERROR(_xlfn.IFS(F$2="DB",DB!$BC26,F$2="BT",BT!$BC26,F$2="DBO",DBO!$BC26,F$2="BTO",BTO!$BC26,F$2="BOT/BOO",BOT・BOO!$BC26),0)</f>
        <v/>
      </c>
      <c r="H13" s="438">
        <f t="array" ref="H13">-IFERROR(_xlfn.IFS(H$2="DB",DB!$AJ26,H$2="BT",BT!$AJ26,H$2="DBO",DBO!$AJ26,H$2="BTO",BTO!$AJ26,H$2="BOT/BOO",BOT・BOO!$AJ26),0)</f>
        <v/>
      </c>
      <c r="I13" s="438">
        <f t="array" ref="I13">-IFERROR(_xlfn.IFS(H$2="DB",DB!$BC26,H$2="BT",BT!$BC26,H$2="DBO",DBO!$BC26,H$2="BTO",BTO!$BC26,H$2="BOT/BOO",BOT・BOO!$BC26),0)</f>
        <v/>
      </c>
      <c r="J13" s="438">
        <f t="array" ref="J13">-IFERROR(_xlfn.IFS(J$2="DB",DB!$AJ26,J$2="BT",BT!$AJ26,J$2="DBO",DBO!$AJ26,J$2="BTO",BTO!$AJ26,J$2="BOT/BOO",BOT・BOO!$AJ26),0)</f>
        <v/>
      </c>
      <c r="K13" s="438">
        <f t="array" ref="K13">-IFERROR(_xlfn.IFS(J$2="DB",DB!$BC26,J$2="BT",BT!$BC26,J$2="DBO",DBO!$BC26,J$2="BTO",BTO!$BC26,J$2="BOT/BOO",BOT・BOO!$BC26),0)</f>
        <v/>
      </c>
      <c r="L13" s="438">
        <f t="array" ref="L13">-IFERROR(_xlfn.IFS(L$2="DB",DB!$AJ26,L$2="BT",BT!$AJ26,L$2="DBO",DBO!$AJ26,L$2="BTO",BTO!$AJ26,L$2="BOT/BOO",BOT・BOO!$AJ26),0)</f>
        <v/>
      </c>
      <c r="M13" s="438">
        <f t="array" ref="M13">-IFERROR(_xlfn.IFS(L$2="DB",DB!$BC26,L$2="BT",BT!$BC26,L$2="DBO",DBO!$BC26,L$2="BTO",BTO!$BC26,L$2="BOT/BOO",BOT・BOO!$BC26),0)</f>
        <v/>
      </c>
    </row>
    <row r="14">
      <c r="C14" s="27" t="n">
        <v>11</v>
      </c>
      <c r="D14" s="438">
        <f t="array" ref="D14">-IFERROR(_xlfn.IFS(D$2="DB",DB!$AJ27,D$2="BT",BT!$AJ27,D$2="DBO",DBO!$AJ27,D$2="BTO",BTO!$AJ27,D$2="BOT/BOO",BOT・BOO!$AJ27),0)</f>
        <v/>
      </c>
      <c r="E14" s="438">
        <f t="array" ref="E14">-IFERROR(_xlfn.IFS(D$2="DB",DB!$BC27,D$2="BT",BT!$BC27,D$2="DBO",DBO!$BC27,D$2="BTO",BTO!$BC27,D$2="BOT/BOO",BOT・BOO!$BC27),0)</f>
        <v/>
      </c>
      <c r="F14" s="438">
        <f t="array" ref="F14">-IFERROR(_xlfn.IFS(F$2="DB",DB!$AJ27,F$2="BT",BT!$AJ27,F$2="DBO",DBO!$AJ27,F$2="BTO",BTO!$AJ27,F$2="BOT/BOO",BOT・BOO!$AJ27),0)</f>
        <v/>
      </c>
      <c r="G14" s="438">
        <f t="array" ref="G14">-IFERROR(_xlfn.IFS(F$2="DB",DB!$BC27,F$2="BT",BT!$BC27,F$2="DBO",DBO!$BC27,F$2="BTO",BTO!$BC27,F$2="BOT/BOO",BOT・BOO!$BC27),0)</f>
        <v/>
      </c>
      <c r="H14" s="438">
        <f t="array" ref="H14">-IFERROR(_xlfn.IFS(H$2="DB",DB!$AJ27,H$2="BT",BT!$AJ27,H$2="DBO",DBO!$AJ27,H$2="BTO",BTO!$AJ27,H$2="BOT/BOO",BOT・BOO!$AJ27),0)</f>
        <v/>
      </c>
      <c r="I14" s="438">
        <f t="array" ref="I14">-IFERROR(_xlfn.IFS(H$2="DB",DB!$BC27,H$2="BT",BT!$BC27,H$2="DBO",DBO!$BC27,H$2="BTO",BTO!$BC27,H$2="BOT/BOO",BOT・BOO!$BC27),0)</f>
        <v/>
      </c>
      <c r="J14" s="438">
        <f t="array" ref="J14">-IFERROR(_xlfn.IFS(J$2="DB",DB!$AJ27,J$2="BT",BT!$AJ27,J$2="DBO",DBO!$AJ27,J$2="BTO",BTO!$AJ27,J$2="BOT/BOO",BOT・BOO!$AJ27),0)</f>
        <v/>
      </c>
      <c r="K14" s="438">
        <f t="array" ref="K14">-IFERROR(_xlfn.IFS(J$2="DB",DB!$BC27,J$2="BT",BT!$BC27,J$2="DBO",DBO!$BC27,J$2="BTO",BTO!$BC27,J$2="BOT/BOO",BOT・BOO!$BC27),0)</f>
        <v/>
      </c>
      <c r="L14" s="438">
        <f t="array" ref="L14">-IFERROR(_xlfn.IFS(L$2="DB",DB!$AJ27,L$2="BT",BT!$AJ27,L$2="DBO",DBO!$AJ27,L$2="BTO",BTO!$AJ27,L$2="BOT/BOO",BOT・BOO!$AJ27),0)</f>
        <v/>
      </c>
      <c r="M14" s="438">
        <f t="array" ref="M14">-IFERROR(_xlfn.IFS(L$2="DB",DB!$BC27,L$2="BT",BT!$BC27,L$2="DBO",DBO!$BC27,L$2="BTO",BTO!$BC27,L$2="BOT/BOO",BOT・BOO!$BC27),0)</f>
        <v/>
      </c>
    </row>
    <row r="15">
      <c r="C15" s="27" t="n">
        <v>12</v>
      </c>
      <c r="D15" s="438">
        <f t="array" ref="D15">-IFERROR(_xlfn.IFS(D$2="DB",DB!$AJ28,D$2="BT",BT!$AJ28,D$2="DBO",DBO!$AJ28,D$2="BTO",BTO!$AJ28,D$2="BOT/BOO",BOT・BOO!$AJ28),0)</f>
        <v/>
      </c>
      <c r="E15" s="438">
        <f t="array" ref="E15">-IFERROR(_xlfn.IFS(D$2="DB",DB!$BC28,D$2="BT",BT!$BC28,D$2="DBO",DBO!$BC28,D$2="BTO",BTO!$BC28,D$2="BOT/BOO",BOT・BOO!$BC28),0)</f>
        <v/>
      </c>
      <c r="F15" s="438">
        <f t="array" ref="F15">-IFERROR(_xlfn.IFS(F$2="DB",DB!$AJ28,F$2="BT",BT!$AJ28,F$2="DBO",DBO!$AJ28,F$2="BTO",BTO!$AJ28,F$2="BOT/BOO",BOT・BOO!$AJ28),0)</f>
        <v/>
      </c>
      <c r="G15" s="438">
        <f t="array" ref="G15">-IFERROR(_xlfn.IFS(F$2="DB",DB!$BC28,F$2="BT",BT!$BC28,F$2="DBO",DBO!$BC28,F$2="BTO",BTO!$BC28,F$2="BOT/BOO",BOT・BOO!$BC28),0)</f>
        <v/>
      </c>
      <c r="H15" s="438">
        <f t="array" ref="H15">-IFERROR(_xlfn.IFS(H$2="DB",DB!$AJ28,H$2="BT",BT!$AJ28,H$2="DBO",DBO!$AJ28,H$2="BTO",BTO!$AJ28,H$2="BOT/BOO",BOT・BOO!$AJ28),0)</f>
        <v/>
      </c>
      <c r="I15" s="438">
        <f t="array" ref="I15">-IFERROR(_xlfn.IFS(H$2="DB",DB!$BC28,H$2="BT",BT!$BC28,H$2="DBO",DBO!$BC28,H$2="BTO",BTO!$BC28,H$2="BOT/BOO",BOT・BOO!$BC28),0)</f>
        <v/>
      </c>
      <c r="J15" s="438">
        <f t="array" ref="J15">-IFERROR(_xlfn.IFS(J$2="DB",DB!$AJ28,J$2="BT",BT!$AJ28,J$2="DBO",DBO!$AJ28,J$2="BTO",BTO!$AJ28,J$2="BOT/BOO",BOT・BOO!$AJ28),0)</f>
        <v/>
      </c>
      <c r="K15" s="438">
        <f t="array" ref="K15">-IFERROR(_xlfn.IFS(J$2="DB",DB!$BC28,J$2="BT",BT!$BC28,J$2="DBO",DBO!$BC28,J$2="BTO",BTO!$BC28,J$2="BOT/BOO",BOT・BOO!$BC28),0)</f>
        <v/>
      </c>
      <c r="L15" s="438">
        <f t="array" ref="L15">-IFERROR(_xlfn.IFS(L$2="DB",DB!$AJ28,L$2="BT",BT!$AJ28,L$2="DBO",DBO!$AJ28,L$2="BTO",BTO!$AJ28,L$2="BOT/BOO",BOT・BOO!$AJ28),0)</f>
        <v/>
      </c>
      <c r="M15" s="438">
        <f t="array" ref="M15">-IFERROR(_xlfn.IFS(L$2="DB",DB!$BC28,L$2="BT",BT!$BC28,L$2="DBO",DBO!$BC28,L$2="BTO",BTO!$BC28,L$2="BOT/BOO",BOT・BOO!$BC28),0)</f>
        <v/>
      </c>
    </row>
    <row r="16">
      <c r="C16" s="27" t="n">
        <v>13</v>
      </c>
      <c r="D16" s="438">
        <f t="array" ref="D16">-IFERROR(_xlfn.IFS(D$2="DB",DB!$AJ29,D$2="BT",BT!$AJ29,D$2="DBO",DBO!$AJ29,D$2="BTO",BTO!$AJ29,D$2="BOT/BOO",BOT・BOO!$AJ29),0)</f>
        <v/>
      </c>
      <c r="E16" s="438">
        <f t="array" ref="E16">-IFERROR(_xlfn.IFS(D$2="DB",DB!$BC29,D$2="BT",BT!$BC29,D$2="DBO",DBO!$BC29,D$2="BTO",BTO!$BC29,D$2="BOT/BOO",BOT・BOO!$BC29),0)</f>
        <v/>
      </c>
      <c r="F16" s="438">
        <f t="array" ref="F16">-IFERROR(_xlfn.IFS(F$2="DB",DB!$AJ29,F$2="BT",BT!$AJ29,F$2="DBO",DBO!$AJ29,F$2="BTO",BTO!$AJ29,F$2="BOT/BOO",BOT・BOO!$AJ29),0)</f>
        <v/>
      </c>
      <c r="G16" s="438">
        <f t="array" ref="G16">-IFERROR(_xlfn.IFS(F$2="DB",DB!$BC29,F$2="BT",BT!$BC29,F$2="DBO",DBO!$BC29,F$2="BTO",BTO!$BC29,F$2="BOT/BOO",BOT・BOO!$BC29),0)</f>
        <v/>
      </c>
      <c r="H16" s="438">
        <f t="array" ref="H16">-IFERROR(_xlfn.IFS(H$2="DB",DB!$AJ29,H$2="BT",BT!$AJ29,H$2="DBO",DBO!$AJ29,H$2="BTO",BTO!$AJ29,H$2="BOT/BOO",BOT・BOO!$AJ29),0)</f>
        <v/>
      </c>
      <c r="I16" s="438">
        <f t="array" ref="I16">-IFERROR(_xlfn.IFS(H$2="DB",DB!$BC29,H$2="BT",BT!$BC29,H$2="DBO",DBO!$BC29,H$2="BTO",BTO!$BC29,H$2="BOT/BOO",BOT・BOO!$BC29),0)</f>
        <v/>
      </c>
      <c r="J16" s="438">
        <f t="array" ref="J16">-IFERROR(_xlfn.IFS(J$2="DB",DB!$AJ29,J$2="BT",BT!$AJ29,J$2="DBO",DBO!$AJ29,J$2="BTO",BTO!$AJ29,J$2="BOT/BOO",BOT・BOO!$AJ29),0)</f>
        <v/>
      </c>
      <c r="K16" s="438">
        <f t="array" ref="K16">-IFERROR(_xlfn.IFS(J$2="DB",DB!$BC29,J$2="BT",BT!$BC29,J$2="DBO",DBO!$BC29,J$2="BTO",BTO!$BC29,J$2="BOT/BOO",BOT・BOO!$BC29),0)</f>
        <v/>
      </c>
      <c r="L16" s="438">
        <f t="array" ref="L16">-IFERROR(_xlfn.IFS(L$2="DB",DB!$AJ29,L$2="BT",BT!$AJ29,L$2="DBO",DBO!$AJ29,L$2="BTO",BTO!$AJ29,L$2="BOT/BOO",BOT・BOO!$AJ29),0)</f>
        <v/>
      </c>
      <c r="M16" s="438">
        <f t="array" ref="M16">-IFERROR(_xlfn.IFS(L$2="DB",DB!$BC29,L$2="BT",BT!$BC29,L$2="DBO",DBO!$BC29,L$2="BTO",BTO!$BC29,L$2="BOT/BOO",BOT・BOO!$BC29),0)</f>
        <v/>
      </c>
    </row>
    <row r="17">
      <c r="C17" s="27" t="n">
        <v>14</v>
      </c>
      <c r="D17" s="438">
        <f t="array" ref="D17">-IFERROR(_xlfn.IFS(D$2="DB",DB!$AJ30,D$2="BT",BT!$AJ30,D$2="DBO",DBO!$AJ30,D$2="BTO",BTO!$AJ30,D$2="BOT/BOO",BOT・BOO!$AJ30),0)</f>
        <v/>
      </c>
      <c r="E17" s="438">
        <f t="array" ref="E17">-IFERROR(_xlfn.IFS(D$2="DB",DB!$BC30,D$2="BT",BT!$BC30,D$2="DBO",DBO!$BC30,D$2="BTO",BTO!$BC30,D$2="BOT/BOO",BOT・BOO!$BC30),0)</f>
        <v/>
      </c>
      <c r="F17" s="438">
        <f t="array" ref="F17">-IFERROR(_xlfn.IFS(F$2="DB",DB!$AJ30,F$2="BT",BT!$AJ30,F$2="DBO",DBO!$AJ30,F$2="BTO",BTO!$AJ30,F$2="BOT/BOO",BOT・BOO!$AJ30),0)</f>
        <v/>
      </c>
      <c r="G17" s="438">
        <f t="array" ref="G17">-IFERROR(_xlfn.IFS(F$2="DB",DB!$BC30,F$2="BT",BT!$BC30,F$2="DBO",DBO!$BC30,F$2="BTO",BTO!$BC30,F$2="BOT/BOO",BOT・BOO!$BC30),0)</f>
        <v/>
      </c>
      <c r="H17" s="438">
        <f t="array" ref="H17">-IFERROR(_xlfn.IFS(H$2="DB",DB!$AJ30,H$2="BT",BT!$AJ30,H$2="DBO",DBO!$AJ30,H$2="BTO",BTO!$AJ30,H$2="BOT/BOO",BOT・BOO!$AJ30),0)</f>
        <v/>
      </c>
      <c r="I17" s="438">
        <f t="array" ref="I17">-IFERROR(_xlfn.IFS(H$2="DB",DB!$BC30,H$2="BT",BT!$BC30,H$2="DBO",DBO!$BC30,H$2="BTO",BTO!$BC30,H$2="BOT/BOO",BOT・BOO!$BC30),0)</f>
        <v/>
      </c>
      <c r="J17" s="438">
        <f t="array" ref="J17">-IFERROR(_xlfn.IFS(J$2="DB",DB!$AJ30,J$2="BT",BT!$AJ30,J$2="DBO",DBO!$AJ30,J$2="BTO",BTO!$AJ30,J$2="BOT/BOO",BOT・BOO!$AJ30),0)</f>
        <v/>
      </c>
      <c r="K17" s="438">
        <f t="array" ref="K17">-IFERROR(_xlfn.IFS(J$2="DB",DB!$BC30,J$2="BT",BT!$BC30,J$2="DBO",DBO!$BC30,J$2="BTO",BTO!$BC30,J$2="BOT/BOO",BOT・BOO!$BC30),0)</f>
        <v/>
      </c>
      <c r="L17" s="438">
        <f t="array" ref="L17">-IFERROR(_xlfn.IFS(L$2="DB",DB!$AJ30,L$2="BT",BT!$AJ30,L$2="DBO",DBO!$AJ30,L$2="BTO",BTO!$AJ30,L$2="BOT/BOO",BOT・BOO!$AJ30),0)</f>
        <v/>
      </c>
      <c r="M17" s="438">
        <f t="array" ref="M17">-IFERROR(_xlfn.IFS(L$2="DB",DB!$BC30,L$2="BT",BT!$BC30,L$2="DBO",DBO!$BC30,L$2="BTO",BTO!$BC30,L$2="BOT/BOO",BOT・BOO!$BC30),0)</f>
        <v/>
      </c>
    </row>
    <row r="18">
      <c r="C18" s="27" t="n">
        <v>15</v>
      </c>
      <c r="D18" s="438">
        <f t="array" ref="D18">-IFERROR(_xlfn.IFS(D$2="DB",DB!$AJ31,D$2="BT",BT!$AJ31,D$2="DBO",DBO!$AJ31,D$2="BTO",BTO!$AJ31,D$2="BOT/BOO",BOT・BOO!$AJ31),0)</f>
        <v/>
      </c>
      <c r="E18" s="438">
        <f t="array" ref="E18">-IFERROR(_xlfn.IFS(D$2="DB",DB!$BC31,D$2="BT",BT!$BC31,D$2="DBO",DBO!$BC31,D$2="BTO",BTO!$BC31,D$2="BOT/BOO",BOT・BOO!$BC31),0)</f>
        <v/>
      </c>
      <c r="F18" s="438">
        <f t="array" ref="F18">-IFERROR(_xlfn.IFS(F$2="DB",DB!$AJ31,F$2="BT",BT!$AJ31,F$2="DBO",DBO!$AJ31,F$2="BTO",BTO!$AJ31,F$2="BOT/BOO",BOT・BOO!$AJ31),0)</f>
        <v/>
      </c>
      <c r="G18" s="438">
        <f t="array" ref="G18">-IFERROR(_xlfn.IFS(F$2="DB",DB!$BC31,F$2="BT",BT!$BC31,F$2="DBO",DBO!$BC31,F$2="BTO",BTO!$BC31,F$2="BOT/BOO",BOT・BOO!$BC31),0)</f>
        <v/>
      </c>
      <c r="H18" s="438">
        <f t="array" ref="H18">-IFERROR(_xlfn.IFS(H$2="DB",DB!$AJ31,H$2="BT",BT!$AJ31,H$2="DBO",DBO!$AJ31,H$2="BTO",BTO!$AJ31,H$2="BOT/BOO",BOT・BOO!$AJ31),0)</f>
        <v/>
      </c>
      <c r="I18" s="438">
        <f t="array" ref="I18">-IFERROR(_xlfn.IFS(H$2="DB",DB!$BC31,H$2="BT",BT!$BC31,H$2="DBO",DBO!$BC31,H$2="BTO",BTO!$BC31,H$2="BOT/BOO",BOT・BOO!$BC31),0)</f>
        <v/>
      </c>
      <c r="J18" s="438">
        <f t="array" ref="J18">-IFERROR(_xlfn.IFS(J$2="DB",DB!$AJ31,J$2="BT",BT!$AJ31,J$2="DBO",DBO!$AJ31,J$2="BTO",BTO!$AJ31,J$2="BOT/BOO",BOT・BOO!$AJ31),0)</f>
        <v/>
      </c>
      <c r="K18" s="438">
        <f t="array" ref="K18">-IFERROR(_xlfn.IFS(J$2="DB",DB!$BC31,J$2="BT",BT!$BC31,J$2="DBO",DBO!$BC31,J$2="BTO",BTO!$BC31,J$2="BOT/BOO",BOT・BOO!$BC31),0)</f>
        <v/>
      </c>
      <c r="L18" s="438">
        <f t="array" ref="L18">-IFERROR(_xlfn.IFS(L$2="DB",DB!$AJ31,L$2="BT",BT!$AJ31,L$2="DBO",DBO!$AJ31,L$2="BTO",BTO!$AJ31,L$2="BOT/BOO",BOT・BOO!$AJ31),0)</f>
        <v/>
      </c>
      <c r="M18" s="438">
        <f t="array" ref="M18">-IFERROR(_xlfn.IFS(L$2="DB",DB!$BC31,L$2="BT",BT!$BC31,L$2="DBO",DBO!$BC31,L$2="BTO",BTO!$BC31,L$2="BOT/BOO",BOT・BOO!$BC31),0)</f>
        <v/>
      </c>
    </row>
    <row r="19">
      <c r="C19" s="27" t="n">
        <v>16</v>
      </c>
      <c r="D19" s="438">
        <f t="array" ref="D19">-IFERROR(_xlfn.IFS(D$2="DB",DB!$AJ32,D$2="BT",BT!$AJ32,D$2="DBO",DBO!$AJ32,D$2="BTO",BTO!$AJ32,D$2="BOT/BOO",BOT・BOO!$AJ32),0)</f>
        <v/>
      </c>
      <c r="E19" s="438">
        <f t="array" ref="E19">-IFERROR(_xlfn.IFS(D$2="DB",DB!$BC32,D$2="BT",BT!$BC32,D$2="DBO",DBO!$BC32,D$2="BTO",BTO!$BC32,D$2="BOT/BOO",BOT・BOO!$BC32),0)</f>
        <v/>
      </c>
      <c r="F19" s="438">
        <f t="array" ref="F19">-IFERROR(_xlfn.IFS(F$2="DB",DB!$AJ32,F$2="BT",BT!$AJ32,F$2="DBO",DBO!$AJ32,F$2="BTO",BTO!$AJ32,F$2="BOT/BOO",BOT・BOO!$AJ32),0)</f>
        <v/>
      </c>
      <c r="G19" s="438">
        <f t="array" ref="G19">-IFERROR(_xlfn.IFS(F$2="DB",DB!$BC32,F$2="BT",BT!$BC32,F$2="DBO",DBO!$BC32,F$2="BTO",BTO!$BC32,F$2="BOT/BOO",BOT・BOO!$BC32),0)</f>
        <v/>
      </c>
      <c r="H19" s="438">
        <f t="array" ref="H19">-IFERROR(_xlfn.IFS(H$2="DB",DB!$AJ32,H$2="BT",BT!$AJ32,H$2="DBO",DBO!$AJ32,H$2="BTO",BTO!$AJ32,H$2="BOT/BOO",BOT・BOO!$AJ32),0)</f>
        <v/>
      </c>
      <c r="I19" s="438">
        <f t="array" ref="I19">-IFERROR(_xlfn.IFS(H$2="DB",DB!$BC32,H$2="BT",BT!$BC32,H$2="DBO",DBO!$BC32,H$2="BTO",BTO!$BC32,H$2="BOT/BOO",BOT・BOO!$BC32),0)</f>
        <v/>
      </c>
      <c r="J19" s="438">
        <f t="array" ref="J19">-IFERROR(_xlfn.IFS(J$2="DB",DB!$AJ32,J$2="BT",BT!$AJ32,J$2="DBO",DBO!$AJ32,J$2="BTO",BTO!$AJ32,J$2="BOT/BOO",BOT・BOO!$AJ32),0)</f>
        <v/>
      </c>
      <c r="K19" s="438">
        <f t="array" ref="K19">-IFERROR(_xlfn.IFS(J$2="DB",DB!$BC32,J$2="BT",BT!$BC32,J$2="DBO",DBO!$BC32,J$2="BTO",BTO!$BC32,J$2="BOT/BOO",BOT・BOO!$BC32),0)</f>
        <v/>
      </c>
      <c r="L19" s="438">
        <f t="array" ref="L19">-IFERROR(_xlfn.IFS(L$2="DB",DB!$AJ32,L$2="BT",BT!$AJ32,L$2="DBO",DBO!$AJ32,L$2="BTO",BTO!$AJ32,L$2="BOT/BOO",BOT・BOO!$AJ32),0)</f>
        <v/>
      </c>
      <c r="M19" s="438">
        <f t="array" ref="M19">-IFERROR(_xlfn.IFS(L$2="DB",DB!$BC32,L$2="BT",BT!$BC32,L$2="DBO",DBO!$BC32,L$2="BTO",BTO!$BC32,L$2="BOT/BOO",BOT・BOO!$BC32),0)</f>
        <v/>
      </c>
    </row>
    <row r="20">
      <c r="C20" s="27" t="n">
        <v>17</v>
      </c>
      <c r="D20" s="438">
        <f t="array" ref="D20">-IFERROR(_xlfn.IFS(D$2="DB",DB!$AJ33,D$2="BT",BT!$AJ33,D$2="DBO",DBO!$AJ33,D$2="BTO",BTO!$AJ33,D$2="BOT/BOO",BOT・BOO!$AJ33),0)</f>
        <v/>
      </c>
      <c r="E20" s="438">
        <f t="array" ref="E20">-IFERROR(_xlfn.IFS(D$2="DB",DB!$BC33,D$2="BT",BT!$BC33,D$2="DBO",DBO!$BC33,D$2="BTO",BTO!$BC33,D$2="BOT/BOO",BOT・BOO!$BC33),0)</f>
        <v/>
      </c>
      <c r="F20" s="438">
        <f t="array" ref="F20">-IFERROR(_xlfn.IFS(F$2="DB",DB!$AJ33,F$2="BT",BT!$AJ33,F$2="DBO",DBO!$AJ33,F$2="BTO",BTO!$AJ33,F$2="BOT/BOO",BOT・BOO!$AJ33),0)</f>
        <v/>
      </c>
      <c r="G20" s="438">
        <f t="array" ref="G20">-IFERROR(_xlfn.IFS(F$2="DB",DB!$BC33,F$2="BT",BT!$BC33,F$2="DBO",DBO!$BC33,F$2="BTO",BTO!$BC33,F$2="BOT/BOO",BOT・BOO!$BC33),0)</f>
        <v/>
      </c>
      <c r="H20" s="438">
        <f t="array" ref="H20">-IFERROR(_xlfn.IFS(H$2="DB",DB!$AJ33,H$2="BT",BT!$AJ33,H$2="DBO",DBO!$AJ33,H$2="BTO",BTO!$AJ33,H$2="BOT/BOO",BOT・BOO!$AJ33),0)</f>
        <v/>
      </c>
      <c r="I20" s="438">
        <f t="array" ref="I20">-IFERROR(_xlfn.IFS(H$2="DB",DB!$BC33,H$2="BT",BT!$BC33,H$2="DBO",DBO!$BC33,H$2="BTO",BTO!$BC33,H$2="BOT/BOO",BOT・BOO!$BC33),0)</f>
        <v/>
      </c>
      <c r="J20" s="438">
        <f t="array" ref="J20">-IFERROR(_xlfn.IFS(J$2="DB",DB!$AJ33,J$2="BT",BT!$AJ33,J$2="DBO",DBO!$AJ33,J$2="BTO",BTO!$AJ33,J$2="BOT/BOO",BOT・BOO!$AJ33),0)</f>
        <v/>
      </c>
      <c r="K20" s="438">
        <f t="array" ref="K20">-IFERROR(_xlfn.IFS(J$2="DB",DB!$BC33,J$2="BT",BT!$BC33,J$2="DBO",DBO!$BC33,J$2="BTO",BTO!$BC33,J$2="BOT/BOO",BOT・BOO!$BC33),0)</f>
        <v/>
      </c>
      <c r="L20" s="438">
        <f t="array" ref="L20">-IFERROR(_xlfn.IFS(L$2="DB",DB!$AJ33,L$2="BT",BT!$AJ33,L$2="DBO",DBO!$AJ33,L$2="BTO",BTO!$AJ33,L$2="BOT/BOO",BOT・BOO!$AJ33),0)</f>
        <v/>
      </c>
      <c r="M20" s="438">
        <f t="array" ref="M20">-IFERROR(_xlfn.IFS(L$2="DB",DB!$BC33,L$2="BT",BT!$BC33,L$2="DBO",DBO!$BC33,L$2="BTO",BTO!$BC33,L$2="BOT/BOO",BOT・BOO!$BC33),0)</f>
        <v/>
      </c>
    </row>
    <row r="21">
      <c r="C21" s="27" t="n">
        <v>18</v>
      </c>
      <c r="D21" s="438">
        <f t="array" ref="D21">-IFERROR(_xlfn.IFS(D$2="DB",DB!$AJ34,D$2="BT",BT!$AJ34,D$2="DBO",DBO!$AJ34,D$2="BTO",BTO!$AJ34,D$2="BOT/BOO",BOT・BOO!$AJ34),0)</f>
        <v/>
      </c>
      <c r="E21" s="438">
        <f t="array" ref="E21">-IFERROR(_xlfn.IFS(D$2="DB",DB!$BC34,D$2="BT",BT!$BC34,D$2="DBO",DBO!$BC34,D$2="BTO",BTO!$BC34,D$2="BOT/BOO",BOT・BOO!$BC34),0)</f>
        <v/>
      </c>
      <c r="F21" s="438">
        <f t="array" ref="F21">-IFERROR(_xlfn.IFS(F$2="DB",DB!$AJ34,F$2="BT",BT!$AJ34,F$2="DBO",DBO!$AJ34,F$2="BTO",BTO!$AJ34,F$2="BOT/BOO",BOT・BOO!$AJ34),0)</f>
        <v/>
      </c>
      <c r="G21" s="438">
        <f t="array" ref="G21">-IFERROR(_xlfn.IFS(F$2="DB",DB!$BC34,F$2="BT",BT!$BC34,F$2="DBO",DBO!$BC34,F$2="BTO",BTO!$BC34,F$2="BOT/BOO",BOT・BOO!$BC34),0)</f>
        <v/>
      </c>
      <c r="H21" s="438">
        <f t="array" ref="H21">-IFERROR(_xlfn.IFS(H$2="DB",DB!$AJ34,H$2="BT",BT!$AJ34,H$2="DBO",DBO!$AJ34,H$2="BTO",BTO!$AJ34,H$2="BOT/BOO",BOT・BOO!$AJ34),0)</f>
        <v/>
      </c>
      <c r="I21" s="438">
        <f t="array" ref="I21">-IFERROR(_xlfn.IFS(H$2="DB",DB!$BC34,H$2="BT",BT!$BC34,H$2="DBO",DBO!$BC34,H$2="BTO",BTO!$BC34,H$2="BOT/BOO",BOT・BOO!$BC34),0)</f>
        <v/>
      </c>
      <c r="J21" s="438">
        <f t="array" ref="J21">-IFERROR(_xlfn.IFS(J$2="DB",DB!$AJ34,J$2="BT",BT!$AJ34,J$2="DBO",DBO!$AJ34,J$2="BTO",BTO!$AJ34,J$2="BOT/BOO",BOT・BOO!$AJ34),0)</f>
        <v/>
      </c>
      <c r="K21" s="438">
        <f t="array" ref="K21">-IFERROR(_xlfn.IFS(J$2="DB",DB!$BC34,J$2="BT",BT!$BC34,J$2="DBO",DBO!$BC34,J$2="BTO",BTO!$BC34,J$2="BOT/BOO",BOT・BOO!$BC34),0)</f>
        <v/>
      </c>
      <c r="L21" s="438">
        <f t="array" ref="L21">-IFERROR(_xlfn.IFS(L$2="DB",DB!$AJ34,L$2="BT",BT!$AJ34,L$2="DBO",DBO!$AJ34,L$2="BTO",BTO!$AJ34,L$2="BOT/BOO",BOT・BOO!$AJ34),0)</f>
        <v/>
      </c>
      <c r="M21" s="438">
        <f t="array" ref="M21">-IFERROR(_xlfn.IFS(L$2="DB",DB!$BC34,L$2="BT",BT!$BC34,L$2="DBO",DBO!$BC34,L$2="BTO",BTO!$BC34,L$2="BOT/BOO",BOT・BOO!$BC34),0)</f>
        <v/>
      </c>
    </row>
    <row r="22">
      <c r="C22" s="27" t="n">
        <v>19</v>
      </c>
      <c r="D22" s="438">
        <f t="array" ref="D22">-IFERROR(_xlfn.IFS(D$2="DB",DB!$AJ35,D$2="BT",BT!$AJ35,D$2="DBO",DBO!$AJ35,D$2="BTO",BTO!$AJ35,D$2="BOT/BOO",BOT・BOO!$AJ35),0)</f>
        <v/>
      </c>
      <c r="E22" s="438">
        <f t="array" ref="E22">-IFERROR(_xlfn.IFS(D$2="DB",DB!$BC35,D$2="BT",BT!$BC35,D$2="DBO",DBO!$BC35,D$2="BTO",BTO!$BC35,D$2="BOT/BOO",BOT・BOO!$BC35),0)</f>
        <v/>
      </c>
      <c r="F22" s="438">
        <f t="array" ref="F22">-IFERROR(_xlfn.IFS(F$2="DB",DB!$AJ35,F$2="BT",BT!$AJ35,F$2="DBO",DBO!$AJ35,F$2="BTO",BTO!$AJ35,F$2="BOT/BOO",BOT・BOO!$AJ35),0)</f>
        <v/>
      </c>
      <c r="G22" s="438">
        <f t="array" ref="G22">-IFERROR(_xlfn.IFS(F$2="DB",DB!$BC35,F$2="BT",BT!$BC35,F$2="DBO",DBO!$BC35,F$2="BTO",BTO!$BC35,F$2="BOT/BOO",BOT・BOO!$BC35),0)</f>
        <v/>
      </c>
      <c r="H22" s="438">
        <f t="array" ref="H22">-IFERROR(_xlfn.IFS(H$2="DB",DB!$AJ35,H$2="BT",BT!$AJ35,H$2="DBO",DBO!$AJ35,H$2="BTO",BTO!$AJ35,H$2="BOT/BOO",BOT・BOO!$AJ35),0)</f>
        <v/>
      </c>
      <c r="I22" s="438">
        <f t="array" ref="I22">-IFERROR(_xlfn.IFS(H$2="DB",DB!$BC35,H$2="BT",BT!$BC35,H$2="DBO",DBO!$BC35,H$2="BTO",BTO!$BC35,H$2="BOT/BOO",BOT・BOO!$BC35),0)</f>
        <v/>
      </c>
      <c r="J22" s="438">
        <f t="array" ref="J22">-IFERROR(_xlfn.IFS(J$2="DB",DB!$AJ35,J$2="BT",BT!$AJ35,J$2="DBO",DBO!$AJ35,J$2="BTO",BTO!$AJ35,J$2="BOT/BOO",BOT・BOO!$AJ35),0)</f>
        <v/>
      </c>
      <c r="K22" s="438">
        <f t="array" ref="K22">-IFERROR(_xlfn.IFS(J$2="DB",DB!$BC35,J$2="BT",BT!$BC35,J$2="DBO",DBO!$BC35,J$2="BTO",BTO!$BC35,J$2="BOT/BOO",BOT・BOO!$BC35),0)</f>
        <v/>
      </c>
      <c r="L22" s="438">
        <f t="array" ref="L22">-IFERROR(_xlfn.IFS(L$2="DB",DB!$AJ35,L$2="BT",BT!$AJ35,L$2="DBO",DBO!$AJ35,L$2="BTO",BTO!$AJ35,L$2="BOT/BOO",BOT・BOO!$AJ35),0)</f>
        <v/>
      </c>
      <c r="M22" s="438">
        <f t="array" ref="M22">-IFERROR(_xlfn.IFS(L$2="DB",DB!$BC35,L$2="BT",BT!$BC35,L$2="DBO",DBO!$BC35,L$2="BTO",BTO!$BC35,L$2="BOT/BOO",BOT・BOO!$BC35),0)</f>
        <v/>
      </c>
    </row>
    <row r="23">
      <c r="C23" s="27" t="n">
        <v>20</v>
      </c>
      <c r="D23" s="438">
        <f t="array" ref="D23">-IFERROR(_xlfn.IFS(D$2="DB",DB!$AJ36,D$2="BT",BT!$AJ36,D$2="DBO",DBO!$AJ36,D$2="BTO",BTO!$AJ36,D$2="BOT/BOO",BOT・BOO!$AJ36),0)</f>
        <v/>
      </c>
      <c r="E23" s="438">
        <f t="array" ref="E23">-IFERROR(_xlfn.IFS(D$2="DB",DB!$BC36,D$2="BT",BT!$BC36,D$2="DBO",DBO!$BC36,D$2="BTO",BTO!$BC36,D$2="BOT/BOO",BOT・BOO!$BC36),0)</f>
        <v/>
      </c>
      <c r="F23" s="438">
        <f t="array" ref="F23">-IFERROR(_xlfn.IFS(F$2="DB",DB!$AJ36,F$2="BT",BT!$AJ36,F$2="DBO",DBO!$AJ36,F$2="BTO",BTO!$AJ36,F$2="BOT/BOO",BOT・BOO!$AJ36),0)</f>
        <v/>
      </c>
      <c r="G23" s="438">
        <f t="array" ref="G23">-IFERROR(_xlfn.IFS(F$2="DB",DB!$BC36,F$2="BT",BT!$BC36,F$2="DBO",DBO!$BC36,F$2="BTO",BTO!$BC36,F$2="BOT/BOO",BOT・BOO!$BC36),0)</f>
        <v/>
      </c>
      <c r="H23" s="438">
        <f t="array" ref="H23">-IFERROR(_xlfn.IFS(H$2="DB",DB!$AJ36,H$2="BT",BT!$AJ36,H$2="DBO",DBO!$AJ36,H$2="BTO",BTO!$AJ36,H$2="BOT/BOO",BOT・BOO!$AJ36),0)</f>
        <v/>
      </c>
      <c r="I23" s="438">
        <f t="array" ref="I23">-IFERROR(_xlfn.IFS(H$2="DB",DB!$BC36,H$2="BT",BT!$BC36,H$2="DBO",DBO!$BC36,H$2="BTO",BTO!$BC36,H$2="BOT/BOO",BOT・BOO!$BC36),0)</f>
        <v/>
      </c>
      <c r="J23" s="438">
        <f t="array" ref="J23">-IFERROR(_xlfn.IFS(J$2="DB",DB!$AJ36,J$2="BT",BT!$AJ36,J$2="DBO",DBO!$AJ36,J$2="BTO",BTO!$AJ36,J$2="BOT/BOO",BOT・BOO!$AJ36),0)</f>
        <v/>
      </c>
      <c r="K23" s="438">
        <f t="array" ref="K23">-IFERROR(_xlfn.IFS(J$2="DB",DB!$BC36,J$2="BT",BT!$BC36,J$2="DBO",DBO!$BC36,J$2="BTO",BTO!$BC36,J$2="BOT/BOO",BOT・BOO!$BC36),0)</f>
        <v/>
      </c>
      <c r="L23" s="438">
        <f t="array" ref="L23">-IFERROR(_xlfn.IFS(L$2="DB",DB!$AJ36,L$2="BT",BT!$AJ36,L$2="DBO",DBO!$AJ36,L$2="BTO",BTO!$AJ36,L$2="BOT/BOO",BOT・BOO!$AJ36),0)</f>
        <v/>
      </c>
      <c r="M23" s="438">
        <f t="array" ref="M23">-IFERROR(_xlfn.IFS(L$2="DB",DB!$BC36,L$2="BT",BT!$BC36,L$2="DBO",DBO!$BC36,L$2="BTO",BTO!$BC36,L$2="BOT/BOO",BOT・BOO!$BC36),0)</f>
        <v/>
      </c>
    </row>
    <row r="24">
      <c r="C24" s="27" t="n">
        <v>21</v>
      </c>
      <c r="D24" s="438">
        <f t="array" ref="D24">-IFERROR(_xlfn.IFS(D$2="DB",DB!$AJ37,D$2="BT",BT!$AJ37,D$2="DBO",DBO!$AJ37,D$2="BTO",BTO!$AJ37,D$2="BOT/BOO",BOT・BOO!$AJ37),0)</f>
        <v/>
      </c>
      <c r="E24" s="438">
        <f t="array" ref="E24">-IFERROR(_xlfn.IFS(D$2="DB",DB!$BC37,D$2="BT",BT!$BC37,D$2="DBO",DBO!$BC37,D$2="BTO",BTO!$BC37,D$2="BOT/BOO",BOT・BOO!$BC37),0)</f>
        <v/>
      </c>
      <c r="F24" s="438">
        <f t="array" ref="F24">-IFERROR(_xlfn.IFS(F$2="DB",DB!$AJ37,F$2="BT",BT!$AJ37,F$2="DBO",DBO!$AJ37,F$2="BTO",BTO!$AJ37,F$2="BOT/BOO",BOT・BOO!$AJ37),0)</f>
        <v/>
      </c>
      <c r="G24" s="438">
        <f t="array" ref="G24">-IFERROR(_xlfn.IFS(F$2="DB",DB!$BC37,F$2="BT",BT!$BC37,F$2="DBO",DBO!$BC37,F$2="BTO",BTO!$BC37,F$2="BOT/BOO",BOT・BOO!$BC37),0)</f>
        <v/>
      </c>
      <c r="H24" s="438">
        <f t="array" ref="H24">-IFERROR(_xlfn.IFS(H$2="DB",DB!$AJ37,H$2="BT",BT!$AJ37,H$2="DBO",DBO!$AJ37,H$2="BTO",BTO!$AJ37,H$2="BOT/BOO",BOT・BOO!$AJ37),0)</f>
        <v/>
      </c>
      <c r="I24" s="438">
        <f t="array" ref="I24">-IFERROR(_xlfn.IFS(H$2="DB",DB!$BC37,H$2="BT",BT!$BC37,H$2="DBO",DBO!$BC37,H$2="BTO",BTO!$BC37,H$2="BOT/BOO",BOT・BOO!$BC37),0)</f>
        <v/>
      </c>
      <c r="J24" s="438">
        <f t="array" ref="J24">-IFERROR(_xlfn.IFS(J$2="DB",DB!$AJ37,J$2="BT",BT!$AJ37,J$2="DBO",DBO!$AJ37,J$2="BTO",BTO!$AJ37,J$2="BOT/BOO",BOT・BOO!$AJ37),0)</f>
        <v/>
      </c>
      <c r="K24" s="438">
        <f t="array" ref="K24">-IFERROR(_xlfn.IFS(J$2="DB",DB!$BC37,J$2="BT",BT!$BC37,J$2="DBO",DBO!$BC37,J$2="BTO",BTO!$BC37,J$2="BOT/BOO",BOT・BOO!$BC37),0)</f>
        <v/>
      </c>
      <c r="L24" s="438">
        <f t="array" ref="L24">-IFERROR(_xlfn.IFS(L$2="DB",DB!$AJ37,L$2="BT",BT!$AJ37,L$2="DBO",DBO!$AJ37,L$2="BTO",BTO!$AJ37,L$2="BOT/BOO",BOT・BOO!$AJ37),0)</f>
        <v/>
      </c>
      <c r="M24" s="438">
        <f t="array" ref="M24">-IFERROR(_xlfn.IFS(L$2="DB",DB!$BC37,L$2="BT",BT!$BC37,L$2="DBO",DBO!$BC37,L$2="BTO",BTO!$BC37,L$2="BOT/BOO",BOT・BOO!$BC37),0)</f>
        <v/>
      </c>
    </row>
    <row r="25">
      <c r="C25" s="27" t="n">
        <v>22</v>
      </c>
      <c r="D25" s="438">
        <f t="array" ref="D25">-IFERROR(_xlfn.IFS(D$2="DB",DB!$AJ38,D$2="BT",BT!$AJ38,D$2="DBO",DBO!$AJ38,D$2="BTO",BTO!$AJ38,D$2="BOT/BOO",BOT・BOO!$AJ38),0)</f>
        <v/>
      </c>
      <c r="E25" s="438">
        <f t="array" ref="E25">-IFERROR(_xlfn.IFS(D$2="DB",DB!$BC38,D$2="BT",BT!$BC38,D$2="DBO",DBO!$BC38,D$2="BTO",BTO!$BC38,D$2="BOT/BOO",BOT・BOO!$BC38),0)</f>
        <v/>
      </c>
      <c r="F25" s="438">
        <f t="array" ref="F25">-IFERROR(_xlfn.IFS(F$2="DB",DB!$AJ38,F$2="BT",BT!$AJ38,F$2="DBO",DBO!$AJ38,F$2="BTO",BTO!$AJ38,F$2="BOT/BOO",BOT・BOO!$AJ38),0)</f>
        <v/>
      </c>
      <c r="G25" s="438">
        <f t="array" ref="G25">-IFERROR(_xlfn.IFS(F$2="DB",DB!$BC38,F$2="BT",BT!$BC38,F$2="DBO",DBO!$BC38,F$2="BTO",BTO!$BC38,F$2="BOT/BOO",BOT・BOO!$BC38),0)</f>
        <v/>
      </c>
      <c r="H25" s="438">
        <f t="array" ref="H25">-IFERROR(_xlfn.IFS(H$2="DB",DB!$AJ38,H$2="BT",BT!$AJ38,H$2="DBO",DBO!$AJ38,H$2="BTO",BTO!$AJ38,H$2="BOT/BOO",BOT・BOO!$AJ38),0)</f>
        <v/>
      </c>
      <c r="I25" s="438">
        <f t="array" ref="I25">-IFERROR(_xlfn.IFS(H$2="DB",DB!$BC38,H$2="BT",BT!$BC38,H$2="DBO",DBO!$BC38,H$2="BTO",BTO!$BC38,H$2="BOT/BOO",BOT・BOO!$BC38),0)</f>
        <v/>
      </c>
      <c r="J25" s="438">
        <f t="array" ref="J25">-IFERROR(_xlfn.IFS(J$2="DB",DB!$AJ38,J$2="BT",BT!$AJ38,J$2="DBO",DBO!$AJ38,J$2="BTO",BTO!$AJ38,J$2="BOT/BOO",BOT・BOO!$AJ38),0)</f>
        <v/>
      </c>
      <c r="K25" s="438">
        <f t="array" ref="K25">-IFERROR(_xlfn.IFS(J$2="DB",DB!$BC38,J$2="BT",BT!$BC38,J$2="DBO",DBO!$BC38,J$2="BTO",BTO!$BC38,J$2="BOT/BOO",BOT・BOO!$BC38),0)</f>
        <v/>
      </c>
      <c r="L25" s="438">
        <f t="array" ref="L25">-IFERROR(_xlfn.IFS(L$2="DB",DB!$AJ38,L$2="BT",BT!$AJ38,L$2="DBO",DBO!$AJ38,L$2="BTO",BTO!$AJ38,L$2="BOT/BOO",BOT・BOO!$AJ38),0)</f>
        <v/>
      </c>
      <c r="M25" s="438">
        <f t="array" ref="M25">-IFERROR(_xlfn.IFS(L$2="DB",DB!$BC38,L$2="BT",BT!$BC38,L$2="DBO",DBO!$BC38,L$2="BTO",BTO!$BC38,L$2="BOT/BOO",BOT・BOO!$BC38),0)</f>
        <v/>
      </c>
    </row>
    <row r="26">
      <c r="C26" s="27" t="n">
        <v>23</v>
      </c>
      <c r="D26" s="438">
        <f t="array" ref="D26">-IFERROR(_xlfn.IFS(D$2="DB",DB!$AJ39,D$2="BT",BT!$AJ39,D$2="DBO",DBO!$AJ39,D$2="BTO",BTO!$AJ39,D$2="BOT/BOO",BOT・BOO!$AJ39),0)</f>
        <v/>
      </c>
      <c r="E26" s="438">
        <f t="array" ref="E26">-IFERROR(_xlfn.IFS(D$2="DB",DB!$BC39,D$2="BT",BT!$BC39,D$2="DBO",DBO!$BC39,D$2="BTO",BTO!$BC39,D$2="BOT/BOO",BOT・BOO!$BC39),0)</f>
        <v/>
      </c>
      <c r="F26" s="438">
        <f t="array" ref="F26">-IFERROR(_xlfn.IFS(F$2="DB",DB!$AJ39,F$2="BT",BT!$AJ39,F$2="DBO",DBO!$AJ39,F$2="BTO",BTO!$AJ39,F$2="BOT/BOO",BOT・BOO!$AJ39),0)</f>
        <v/>
      </c>
      <c r="G26" s="438">
        <f t="array" ref="G26">-IFERROR(_xlfn.IFS(F$2="DB",DB!$BC39,F$2="BT",BT!$BC39,F$2="DBO",DBO!$BC39,F$2="BTO",BTO!$BC39,F$2="BOT/BOO",BOT・BOO!$BC39),0)</f>
        <v/>
      </c>
      <c r="H26" s="438">
        <f t="array" ref="H26">-IFERROR(_xlfn.IFS(H$2="DB",DB!$AJ39,H$2="BT",BT!$AJ39,H$2="DBO",DBO!$AJ39,H$2="BTO",BTO!$AJ39,H$2="BOT/BOO",BOT・BOO!$AJ39),0)</f>
        <v/>
      </c>
      <c r="I26" s="438">
        <f t="array" ref="I26">-IFERROR(_xlfn.IFS(H$2="DB",DB!$BC39,H$2="BT",BT!$BC39,H$2="DBO",DBO!$BC39,H$2="BTO",BTO!$BC39,H$2="BOT/BOO",BOT・BOO!$BC39),0)</f>
        <v/>
      </c>
      <c r="J26" s="438">
        <f t="array" ref="J26">-IFERROR(_xlfn.IFS(J$2="DB",DB!$AJ39,J$2="BT",BT!$AJ39,J$2="DBO",DBO!$AJ39,J$2="BTO",BTO!$AJ39,J$2="BOT/BOO",BOT・BOO!$AJ39),0)</f>
        <v/>
      </c>
      <c r="K26" s="438">
        <f t="array" ref="K26">-IFERROR(_xlfn.IFS(J$2="DB",DB!$BC39,J$2="BT",BT!$BC39,J$2="DBO",DBO!$BC39,J$2="BTO",BTO!$BC39,J$2="BOT/BOO",BOT・BOO!$BC39),0)</f>
        <v/>
      </c>
      <c r="L26" s="438">
        <f t="array" ref="L26">-IFERROR(_xlfn.IFS(L$2="DB",DB!$AJ39,L$2="BT",BT!$AJ39,L$2="DBO",DBO!$AJ39,L$2="BTO",BTO!$AJ39,L$2="BOT/BOO",BOT・BOO!$AJ39),0)</f>
        <v/>
      </c>
      <c r="M26" s="438">
        <f t="array" ref="M26">-IFERROR(_xlfn.IFS(L$2="DB",DB!$BC39,L$2="BT",BT!$BC39,L$2="DBO",DBO!$BC39,L$2="BTO",BTO!$BC39,L$2="BOT/BOO",BOT・BOO!$BC39),0)</f>
        <v/>
      </c>
    </row>
    <row r="27">
      <c r="C27" s="27" t="n">
        <v>24</v>
      </c>
      <c r="D27" s="438">
        <f t="array" ref="D27">-IFERROR(_xlfn.IFS(D$2="DB",DB!$AJ40,D$2="BT",BT!$AJ40,D$2="DBO",DBO!$AJ40,D$2="BTO",BTO!$AJ40,D$2="BOT/BOO",BOT・BOO!$AJ40),0)</f>
        <v/>
      </c>
      <c r="E27" s="438">
        <f t="array" ref="E27">-IFERROR(_xlfn.IFS(D$2="DB",DB!$BC40,D$2="BT",BT!$BC40,D$2="DBO",DBO!$BC40,D$2="BTO",BTO!$BC40,D$2="BOT/BOO",BOT・BOO!$BC40),0)</f>
        <v/>
      </c>
      <c r="F27" s="438">
        <f t="array" ref="F27">-IFERROR(_xlfn.IFS(F$2="DB",DB!$AJ40,F$2="BT",BT!$AJ40,F$2="DBO",DBO!$AJ40,F$2="BTO",BTO!$AJ40,F$2="BOT/BOO",BOT・BOO!$AJ40),0)</f>
        <v/>
      </c>
      <c r="G27" s="438">
        <f t="array" ref="G27">-IFERROR(_xlfn.IFS(F$2="DB",DB!$BC40,F$2="BT",BT!$BC40,F$2="DBO",DBO!$BC40,F$2="BTO",BTO!$BC40,F$2="BOT/BOO",BOT・BOO!$BC40),0)</f>
        <v/>
      </c>
      <c r="H27" s="438">
        <f t="array" ref="H27">-IFERROR(_xlfn.IFS(H$2="DB",DB!$AJ40,H$2="BT",BT!$AJ40,H$2="DBO",DBO!$AJ40,H$2="BTO",BTO!$AJ40,H$2="BOT/BOO",BOT・BOO!$AJ40),0)</f>
        <v/>
      </c>
      <c r="I27" s="438">
        <f t="array" ref="I27">-IFERROR(_xlfn.IFS(H$2="DB",DB!$BC40,H$2="BT",BT!$BC40,H$2="DBO",DBO!$BC40,H$2="BTO",BTO!$BC40,H$2="BOT/BOO",BOT・BOO!$BC40),0)</f>
        <v/>
      </c>
      <c r="J27" s="438">
        <f t="array" ref="J27">-IFERROR(_xlfn.IFS(J$2="DB",DB!$AJ40,J$2="BT",BT!$AJ40,J$2="DBO",DBO!$AJ40,J$2="BTO",BTO!$AJ40,J$2="BOT/BOO",BOT・BOO!$AJ40),0)</f>
        <v/>
      </c>
      <c r="K27" s="438">
        <f t="array" ref="K27">-IFERROR(_xlfn.IFS(J$2="DB",DB!$BC40,J$2="BT",BT!$BC40,J$2="DBO",DBO!$BC40,J$2="BTO",BTO!$BC40,J$2="BOT/BOO",BOT・BOO!$BC40),0)</f>
        <v/>
      </c>
      <c r="L27" s="438">
        <f t="array" ref="L27">-IFERROR(_xlfn.IFS(L$2="DB",DB!$AJ40,L$2="BT",BT!$AJ40,L$2="DBO",DBO!$AJ40,L$2="BTO",BTO!$AJ40,L$2="BOT/BOO",BOT・BOO!$AJ40),0)</f>
        <v/>
      </c>
      <c r="M27" s="438">
        <f t="array" ref="M27">-IFERROR(_xlfn.IFS(L$2="DB",DB!$BC40,L$2="BT",BT!$BC40,L$2="DBO",DBO!$BC40,L$2="BTO",BTO!$BC40,L$2="BOT/BOO",BOT・BOO!$BC40),0)</f>
        <v/>
      </c>
    </row>
    <row r="28">
      <c r="C28" s="27" t="n">
        <v>25</v>
      </c>
      <c r="D28" s="438">
        <f t="array" ref="D28">-IFERROR(_xlfn.IFS(D$2="DB",DB!$AJ41,D$2="BT",BT!$AJ41,D$2="DBO",DBO!$AJ41,D$2="BTO",BTO!$AJ41,D$2="BOT/BOO",BOT・BOO!$AJ41),0)</f>
        <v/>
      </c>
      <c r="E28" s="438">
        <f t="array" ref="E28">-IFERROR(_xlfn.IFS(D$2="DB",DB!$BC41,D$2="BT",BT!$BC41,D$2="DBO",DBO!$BC41,D$2="BTO",BTO!$BC41,D$2="BOT/BOO",BOT・BOO!$BC41),0)</f>
        <v/>
      </c>
      <c r="F28" s="438">
        <f t="array" ref="F28">-IFERROR(_xlfn.IFS(F$2="DB",DB!$AJ41,F$2="BT",BT!$AJ41,F$2="DBO",DBO!$AJ41,F$2="BTO",BTO!$AJ41,F$2="BOT/BOO",BOT・BOO!$AJ41),0)</f>
        <v/>
      </c>
      <c r="G28" s="438">
        <f t="array" ref="G28">-IFERROR(_xlfn.IFS(F$2="DB",DB!$BC41,F$2="BT",BT!$BC41,F$2="DBO",DBO!$BC41,F$2="BTO",BTO!$BC41,F$2="BOT/BOO",BOT・BOO!$BC41),0)</f>
        <v/>
      </c>
      <c r="H28" s="438">
        <f t="array" ref="H28">-IFERROR(_xlfn.IFS(H$2="DB",DB!$AJ41,H$2="BT",BT!$AJ41,H$2="DBO",DBO!$AJ41,H$2="BTO",BTO!$AJ41,H$2="BOT/BOO",BOT・BOO!$AJ41),0)</f>
        <v/>
      </c>
      <c r="I28" s="438">
        <f t="array" ref="I28">-IFERROR(_xlfn.IFS(H$2="DB",DB!$BC41,H$2="BT",BT!$BC41,H$2="DBO",DBO!$BC41,H$2="BTO",BTO!$BC41,H$2="BOT/BOO",BOT・BOO!$BC41),0)</f>
        <v/>
      </c>
      <c r="J28" s="438">
        <f t="array" ref="J28">-IFERROR(_xlfn.IFS(J$2="DB",DB!$AJ41,J$2="BT",BT!$AJ41,J$2="DBO",DBO!$AJ41,J$2="BTO",BTO!$AJ41,J$2="BOT/BOO",BOT・BOO!$AJ41),0)</f>
        <v/>
      </c>
      <c r="K28" s="438">
        <f t="array" ref="K28">-IFERROR(_xlfn.IFS(J$2="DB",DB!$BC41,J$2="BT",BT!$BC41,J$2="DBO",DBO!$BC41,J$2="BTO",BTO!$BC41,J$2="BOT/BOO",BOT・BOO!$BC41),0)</f>
        <v/>
      </c>
      <c r="L28" s="438">
        <f t="array" ref="L28">-IFERROR(_xlfn.IFS(L$2="DB",DB!$AJ41,L$2="BT",BT!$AJ41,L$2="DBO",DBO!$AJ41,L$2="BTO",BTO!$AJ41,L$2="BOT/BOO",BOT・BOO!$AJ41),0)</f>
        <v/>
      </c>
      <c r="M28" s="438">
        <f t="array" ref="M28">-IFERROR(_xlfn.IFS(L$2="DB",DB!$BC41,L$2="BT",BT!$BC41,L$2="DBO",DBO!$BC41,L$2="BTO",BTO!$BC41,L$2="BOT/BOO",BOT・BOO!$BC41),0)</f>
        <v/>
      </c>
    </row>
    <row r="29">
      <c r="C29" s="27" t="n">
        <v>26</v>
      </c>
      <c r="D29" s="438">
        <f t="array" ref="D29">-IFERROR(_xlfn.IFS(D$2="DB",DB!$AJ42,D$2="BT",BT!$AJ42,D$2="DBO",DBO!$AJ42,D$2="BTO",BTO!$AJ42,D$2="BOT/BOO",BOT・BOO!$AJ42),0)</f>
        <v/>
      </c>
      <c r="E29" s="438">
        <f t="array" ref="E29">-IFERROR(_xlfn.IFS(D$2="DB",DB!$BC42,D$2="BT",BT!$BC42,D$2="DBO",DBO!$BC42,D$2="BTO",BTO!$BC42,D$2="BOT/BOO",BOT・BOO!$BC42),0)</f>
        <v/>
      </c>
      <c r="F29" s="438">
        <f t="array" ref="F29">-IFERROR(_xlfn.IFS(F$2="DB",DB!$AJ42,F$2="BT",BT!$AJ42,F$2="DBO",DBO!$AJ42,F$2="BTO",BTO!$AJ42,F$2="BOT/BOO",BOT・BOO!$AJ42),0)</f>
        <v/>
      </c>
      <c r="G29" s="438">
        <f t="array" ref="G29">-IFERROR(_xlfn.IFS(F$2="DB",DB!$BC42,F$2="BT",BT!$BC42,F$2="DBO",DBO!$BC42,F$2="BTO",BTO!$BC42,F$2="BOT/BOO",BOT・BOO!$BC42),0)</f>
        <v/>
      </c>
      <c r="H29" s="438">
        <f t="array" ref="H29">-IFERROR(_xlfn.IFS(H$2="DB",DB!$AJ42,H$2="BT",BT!$AJ42,H$2="DBO",DBO!$AJ42,H$2="BTO",BTO!$AJ42,H$2="BOT/BOO",BOT・BOO!$AJ42),0)</f>
        <v/>
      </c>
      <c r="I29" s="438">
        <f t="array" ref="I29">-IFERROR(_xlfn.IFS(H$2="DB",DB!$BC42,H$2="BT",BT!$BC42,H$2="DBO",DBO!$BC42,H$2="BTO",BTO!$BC42,H$2="BOT/BOO",BOT・BOO!$BC42),0)</f>
        <v/>
      </c>
      <c r="J29" s="438">
        <f t="array" ref="J29">-IFERROR(_xlfn.IFS(J$2="DB",DB!$AJ42,J$2="BT",BT!$AJ42,J$2="DBO",DBO!$AJ42,J$2="BTO",BTO!$AJ42,J$2="BOT/BOO",BOT・BOO!$AJ42),0)</f>
        <v/>
      </c>
      <c r="K29" s="438">
        <f t="array" ref="K29">-IFERROR(_xlfn.IFS(J$2="DB",DB!$BC42,J$2="BT",BT!$BC42,J$2="DBO",DBO!$BC42,J$2="BTO",BTO!$BC42,J$2="BOT/BOO",BOT・BOO!$BC42),0)</f>
        <v/>
      </c>
      <c r="L29" s="438">
        <f t="array" ref="L29">-IFERROR(_xlfn.IFS(L$2="DB",DB!$AJ42,L$2="BT",BT!$AJ42,L$2="DBO",DBO!$AJ42,L$2="BTO",BTO!$AJ42,L$2="BOT/BOO",BOT・BOO!$AJ42),0)</f>
        <v/>
      </c>
      <c r="M29" s="438">
        <f t="array" ref="M29">-IFERROR(_xlfn.IFS(L$2="DB",DB!$BC42,L$2="BT",BT!$BC42,L$2="DBO",DBO!$BC42,L$2="BTO",BTO!$BC42,L$2="BOT/BOO",BOT・BOO!$BC42),0)</f>
        <v/>
      </c>
    </row>
    <row r="30">
      <c r="C30" s="27" t="n">
        <v>27</v>
      </c>
      <c r="D30" s="438">
        <f t="array" ref="D30">-IFERROR(_xlfn.IFS(D$2="DB",DB!$AJ43,D$2="BT",BT!$AJ43,D$2="DBO",DBO!$AJ43,D$2="BTO",BTO!$AJ43,D$2="BOT/BOO",BOT・BOO!$AJ43),0)</f>
        <v/>
      </c>
      <c r="E30" s="438">
        <f t="array" ref="E30">-IFERROR(_xlfn.IFS(D$2="DB",DB!$BC43,D$2="BT",BT!$BC43,D$2="DBO",DBO!$BC43,D$2="BTO",BTO!$BC43,D$2="BOT/BOO",BOT・BOO!$BC43),0)</f>
        <v/>
      </c>
      <c r="F30" s="438">
        <f t="array" ref="F30">-IFERROR(_xlfn.IFS(F$2="DB",DB!$AJ43,F$2="BT",BT!$AJ43,F$2="DBO",DBO!$AJ43,F$2="BTO",BTO!$AJ43,F$2="BOT/BOO",BOT・BOO!$AJ43),0)</f>
        <v/>
      </c>
      <c r="G30" s="438">
        <f t="array" ref="G30">-IFERROR(_xlfn.IFS(F$2="DB",DB!$BC43,F$2="BT",BT!$BC43,F$2="DBO",DBO!$BC43,F$2="BTO",BTO!$BC43,F$2="BOT/BOO",BOT・BOO!$BC43),0)</f>
        <v/>
      </c>
      <c r="H30" s="438">
        <f t="array" ref="H30">-IFERROR(_xlfn.IFS(H$2="DB",DB!$AJ43,H$2="BT",BT!$AJ43,H$2="DBO",DBO!$AJ43,H$2="BTO",BTO!$AJ43,H$2="BOT/BOO",BOT・BOO!$AJ43),0)</f>
        <v/>
      </c>
      <c r="I30" s="438">
        <f t="array" ref="I30">-IFERROR(_xlfn.IFS(H$2="DB",DB!$BC43,H$2="BT",BT!$BC43,H$2="DBO",DBO!$BC43,H$2="BTO",BTO!$BC43,H$2="BOT/BOO",BOT・BOO!$BC43),0)</f>
        <v/>
      </c>
      <c r="J30" s="438">
        <f t="array" ref="J30">-IFERROR(_xlfn.IFS(J$2="DB",DB!$AJ43,J$2="BT",BT!$AJ43,J$2="DBO",DBO!$AJ43,J$2="BTO",BTO!$AJ43,J$2="BOT/BOO",BOT・BOO!$AJ43),0)</f>
        <v/>
      </c>
      <c r="K30" s="438">
        <f t="array" ref="K30">-IFERROR(_xlfn.IFS(J$2="DB",DB!$BC43,J$2="BT",BT!$BC43,J$2="DBO",DBO!$BC43,J$2="BTO",BTO!$BC43,J$2="BOT/BOO",BOT・BOO!$BC43),0)</f>
        <v/>
      </c>
      <c r="L30" s="438">
        <f t="array" ref="L30">-IFERROR(_xlfn.IFS(L$2="DB",DB!$AJ43,L$2="BT",BT!$AJ43,L$2="DBO",DBO!$AJ43,L$2="BTO",BTO!$AJ43,L$2="BOT/BOO",BOT・BOO!$AJ43),0)</f>
        <v/>
      </c>
      <c r="M30" s="438">
        <f t="array" ref="M30">-IFERROR(_xlfn.IFS(L$2="DB",DB!$BC43,L$2="BT",BT!$BC43,L$2="DBO",DBO!$BC43,L$2="BTO",BTO!$BC43,L$2="BOT/BOO",BOT・BOO!$BC43),0)</f>
        <v/>
      </c>
    </row>
    <row r="31">
      <c r="C31" s="27" t="n">
        <v>28</v>
      </c>
      <c r="D31" s="438">
        <f t="array" ref="D31">-IFERROR(_xlfn.IFS(D$2="DB",DB!$AJ44,D$2="BT",BT!$AJ44,D$2="DBO",DBO!$AJ44,D$2="BTO",BTO!$AJ44,D$2="BOT/BOO",BOT・BOO!$AJ44),0)</f>
        <v/>
      </c>
      <c r="E31" s="438">
        <f t="array" ref="E31">-IFERROR(_xlfn.IFS(D$2="DB",DB!$BC44,D$2="BT",BT!$BC44,D$2="DBO",DBO!$BC44,D$2="BTO",BTO!$BC44,D$2="BOT/BOO",BOT・BOO!$BC44),0)</f>
        <v/>
      </c>
      <c r="F31" s="438">
        <f t="array" ref="F31">-IFERROR(_xlfn.IFS(F$2="DB",DB!$AJ44,F$2="BT",BT!$AJ44,F$2="DBO",DBO!$AJ44,F$2="BTO",BTO!$AJ44,F$2="BOT/BOO",BOT・BOO!$AJ44),0)</f>
        <v/>
      </c>
      <c r="G31" s="438">
        <f t="array" ref="G31">-IFERROR(_xlfn.IFS(F$2="DB",DB!$BC44,F$2="BT",BT!$BC44,F$2="DBO",DBO!$BC44,F$2="BTO",BTO!$BC44,F$2="BOT/BOO",BOT・BOO!$BC44),0)</f>
        <v/>
      </c>
      <c r="H31" s="438">
        <f t="array" ref="H31">-IFERROR(_xlfn.IFS(H$2="DB",DB!$AJ44,H$2="BT",BT!$AJ44,H$2="DBO",DBO!$AJ44,H$2="BTO",BTO!$AJ44,H$2="BOT/BOO",BOT・BOO!$AJ44),0)</f>
        <v/>
      </c>
      <c r="I31" s="438">
        <f t="array" ref="I31">-IFERROR(_xlfn.IFS(H$2="DB",DB!$BC44,H$2="BT",BT!$BC44,H$2="DBO",DBO!$BC44,H$2="BTO",BTO!$BC44,H$2="BOT/BOO",BOT・BOO!$BC44),0)</f>
        <v/>
      </c>
      <c r="J31" s="438">
        <f t="array" ref="J31">-IFERROR(_xlfn.IFS(J$2="DB",DB!$AJ44,J$2="BT",BT!$AJ44,J$2="DBO",DBO!$AJ44,J$2="BTO",BTO!$AJ44,J$2="BOT/BOO",BOT・BOO!$AJ44),0)</f>
        <v/>
      </c>
      <c r="K31" s="438">
        <f t="array" ref="K31">-IFERROR(_xlfn.IFS(J$2="DB",DB!$BC44,J$2="BT",BT!$BC44,J$2="DBO",DBO!$BC44,J$2="BTO",BTO!$BC44,J$2="BOT/BOO",BOT・BOO!$BC44),0)</f>
        <v/>
      </c>
      <c r="L31" s="438">
        <f t="array" ref="L31">-IFERROR(_xlfn.IFS(L$2="DB",DB!$AJ44,L$2="BT",BT!$AJ44,L$2="DBO",DBO!$AJ44,L$2="BTO",BTO!$AJ44,L$2="BOT/BOO",BOT・BOO!$AJ44),0)</f>
        <v/>
      </c>
      <c r="M31" s="438">
        <f t="array" ref="M31">-IFERROR(_xlfn.IFS(L$2="DB",DB!$BC44,L$2="BT",BT!$BC44,L$2="DBO",DBO!$BC44,L$2="BTO",BTO!$BC44,L$2="BOT/BOO",BOT・BOO!$BC44),0)</f>
        <v/>
      </c>
    </row>
    <row r="32">
      <c r="C32" s="27" t="n">
        <v>29</v>
      </c>
      <c r="D32" s="438">
        <f t="array" ref="D32">-IFERROR(_xlfn.IFS(D$2="DB",DB!$AJ45,D$2="BT",BT!$AJ45,D$2="DBO",DBO!$AJ45,D$2="BTO",BTO!$AJ45,D$2="BOT/BOO",BOT・BOO!$AJ45),0)</f>
        <v/>
      </c>
      <c r="E32" s="438">
        <f t="array" ref="E32">-IFERROR(_xlfn.IFS(D$2="DB",DB!$BC45,D$2="BT",BT!$BC45,D$2="DBO",DBO!$BC45,D$2="BTO",BTO!$BC45,D$2="BOT/BOO",BOT・BOO!$BC45),0)</f>
        <v/>
      </c>
      <c r="F32" s="438">
        <f t="array" ref="F32">-IFERROR(_xlfn.IFS(F$2="DB",DB!$AJ45,F$2="BT",BT!$AJ45,F$2="DBO",DBO!$AJ45,F$2="BTO",BTO!$AJ45,F$2="BOT/BOO",BOT・BOO!$AJ45),0)</f>
        <v/>
      </c>
      <c r="G32" s="438">
        <f t="array" ref="G32">-IFERROR(_xlfn.IFS(F$2="DB",DB!$BC45,F$2="BT",BT!$BC45,F$2="DBO",DBO!$BC45,F$2="BTO",BTO!$BC45,F$2="BOT/BOO",BOT・BOO!$BC45),0)</f>
        <v/>
      </c>
      <c r="H32" s="438">
        <f t="array" ref="H32">-IFERROR(_xlfn.IFS(H$2="DB",DB!$AJ45,H$2="BT",BT!$AJ45,H$2="DBO",DBO!$AJ45,H$2="BTO",BTO!$AJ45,H$2="BOT/BOO",BOT・BOO!$AJ45),0)</f>
        <v/>
      </c>
      <c r="I32" s="438">
        <f t="array" ref="I32">-IFERROR(_xlfn.IFS(H$2="DB",DB!$BC45,H$2="BT",BT!$BC45,H$2="DBO",DBO!$BC45,H$2="BTO",BTO!$BC45,H$2="BOT/BOO",BOT・BOO!$BC45),0)</f>
        <v/>
      </c>
      <c r="J32" s="438">
        <f t="array" ref="J32">-IFERROR(_xlfn.IFS(J$2="DB",DB!$AJ45,J$2="BT",BT!$AJ45,J$2="DBO",DBO!$AJ45,J$2="BTO",BTO!$AJ45,J$2="BOT/BOO",BOT・BOO!$AJ45),0)</f>
        <v/>
      </c>
      <c r="K32" s="438">
        <f t="array" ref="K32">-IFERROR(_xlfn.IFS(J$2="DB",DB!$BC45,J$2="BT",BT!$BC45,J$2="DBO",DBO!$BC45,J$2="BTO",BTO!$BC45,J$2="BOT/BOO",BOT・BOO!$BC45),0)</f>
        <v/>
      </c>
      <c r="L32" s="438">
        <f t="array" ref="L32">-IFERROR(_xlfn.IFS(L$2="DB",DB!$AJ45,L$2="BT",BT!$AJ45,L$2="DBO",DBO!$AJ45,L$2="BTO",BTO!$AJ45,L$2="BOT/BOO",BOT・BOO!$AJ45),0)</f>
        <v/>
      </c>
      <c r="M32" s="438">
        <f t="array" ref="M32">-IFERROR(_xlfn.IFS(L$2="DB",DB!$BC45,L$2="BT",BT!$BC45,L$2="DBO",DBO!$BC45,L$2="BTO",BTO!$BC45,L$2="BOT/BOO",BOT・BOO!$BC45),0)</f>
        <v/>
      </c>
    </row>
    <row r="33">
      <c r="C33" s="27" t="n">
        <v>30</v>
      </c>
      <c r="D33" s="438">
        <f t="array" ref="D33">-IFERROR(_xlfn.IFS(D$2="DB",DB!$AJ46,D$2="BT",BT!$AJ46,D$2="DBO",DBO!$AJ46,D$2="BTO",BTO!$AJ46,D$2="BOT/BOO",BOT・BOO!$AJ46),0)</f>
        <v/>
      </c>
      <c r="E33" s="438">
        <f t="array" ref="E33">-IFERROR(_xlfn.IFS(D$2="DB",DB!$BC46,D$2="BT",BT!$BC46,D$2="DBO",DBO!$BC46,D$2="BTO",BTO!$BC46,D$2="BOT/BOO",BOT・BOO!$BC46),0)</f>
        <v/>
      </c>
      <c r="F33" s="438">
        <f t="array" ref="F33">-IFERROR(_xlfn.IFS(F$2="DB",DB!$AJ46,F$2="BT",BT!$AJ46,F$2="DBO",DBO!$AJ46,F$2="BTO",BTO!$AJ46,F$2="BOT/BOO",BOT・BOO!$AJ46),0)</f>
        <v/>
      </c>
      <c r="G33" s="438">
        <f t="array" ref="G33">-IFERROR(_xlfn.IFS(F$2="DB",DB!$BC46,F$2="BT",BT!$BC46,F$2="DBO",DBO!$BC46,F$2="BTO",BTO!$BC46,F$2="BOT/BOO",BOT・BOO!$BC46),0)</f>
        <v/>
      </c>
      <c r="H33" s="438">
        <f t="array" ref="H33">-IFERROR(_xlfn.IFS(H$2="DB",DB!$AJ46,H$2="BT",BT!$AJ46,H$2="DBO",DBO!$AJ46,H$2="BTO",BTO!$AJ46,H$2="BOT/BOO",BOT・BOO!$AJ46),0)</f>
        <v/>
      </c>
      <c r="I33" s="438">
        <f t="array" ref="I33">-IFERROR(_xlfn.IFS(H$2="DB",DB!$BC46,H$2="BT",BT!$BC46,H$2="DBO",DBO!$BC46,H$2="BTO",BTO!$BC46,H$2="BOT/BOO",BOT・BOO!$BC46),0)</f>
        <v/>
      </c>
      <c r="J33" s="438">
        <f t="array" ref="J33">-IFERROR(_xlfn.IFS(J$2="DB",DB!$AJ46,J$2="BT",BT!$AJ46,J$2="DBO",DBO!$AJ46,J$2="BTO",BTO!$AJ46,J$2="BOT/BOO",BOT・BOO!$AJ46),0)</f>
        <v/>
      </c>
      <c r="K33" s="438">
        <f t="array" ref="K33">-IFERROR(_xlfn.IFS(J$2="DB",DB!$BC46,J$2="BT",BT!$BC46,J$2="DBO",DBO!$BC46,J$2="BTO",BTO!$BC46,J$2="BOT/BOO",BOT・BOO!$BC46),0)</f>
        <v/>
      </c>
      <c r="L33" s="438">
        <f t="array" ref="L33">-IFERROR(_xlfn.IFS(L$2="DB",DB!$AJ46,L$2="BT",BT!$AJ46,L$2="DBO",DBO!$AJ46,L$2="BTO",BTO!$AJ46,L$2="BOT/BOO",BOT・BOO!$AJ46),0)</f>
        <v/>
      </c>
      <c r="M33" s="438">
        <f t="array" ref="M33">-IFERROR(_xlfn.IFS(L$2="DB",DB!$BC46,L$2="BT",BT!$BC46,L$2="DBO",DBO!$BC46,L$2="BTO",BTO!$BC46,L$2="BOT/BOO",BOT・BOO!$BC46),0)</f>
        <v/>
      </c>
    </row>
    <row r="34">
      <c r="D34" s="438" t="n"/>
      <c r="E34" s="438" t="n"/>
      <c r="F34" s="438" t="n"/>
      <c r="G34" s="438" t="n"/>
      <c r="H34" s="438" t="n"/>
      <c r="I34" s="438" t="n"/>
      <c r="J34" s="438" t="n"/>
      <c r="K34" s="438" t="n"/>
      <c r="L34" s="438" t="n"/>
      <c r="M34" s="438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2024-03-12T07:05:12Z</dcterms:created>
  <dcterms:modified xmlns:dcterms="http://purl.org/dc/terms/" xmlns:xsi="http://www.w3.org/2001/XMLSchema-instance" xsi:type="dcterms:W3CDTF">2024-05-28T01:23:54Z</dcterms:modified>
</cp:coreProperties>
</file>

<file path=docProps/custom.xml><?xml version="1.0" encoding="utf-8"?>
<Properties xmlns="http://schemas.openxmlformats.org/officeDocument/2006/custom-properties">
  <property name="MSIP_Label_ea60d57e-af5b-4752-ac57-3e4f28ca11dc_Enabled" fmtid="{D5CDD505-2E9C-101B-9397-08002B2CF9AE}" pid="2">
    <vt:lpwstr xmlns:vt="http://schemas.openxmlformats.org/officeDocument/2006/docPropsVTypes">true</vt:lpwstr>
  </property>
  <property name="MSIP_Label_ea60d57e-af5b-4752-ac57-3e4f28ca11dc_SetDate" fmtid="{D5CDD505-2E9C-101B-9397-08002B2CF9AE}" pid="3">
    <vt:lpwstr xmlns:vt="http://schemas.openxmlformats.org/officeDocument/2006/docPropsVTypes">2024-03-12T07:05:52Z</vt:lpwstr>
  </property>
  <property name="MSIP_Label_ea60d57e-af5b-4752-ac57-3e4f28ca11dc_Method" fmtid="{D5CDD505-2E9C-101B-9397-08002B2CF9AE}" pid="4">
    <vt:lpwstr xmlns:vt="http://schemas.openxmlformats.org/officeDocument/2006/docPropsVTypes">Standard</vt:lpwstr>
  </property>
  <property name="MSIP_Label_ea60d57e-af5b-4752-ac57-3e4f28ca11dc_Name" fmtid="{D5CDD505-2E9C-101B-9397-08002B2CF9AE}" pid="5">
    <vt:lpwstr xmlns:vt="http://schemas.openxmlformats.org/officeDocument/2006/docPropsVTypes">ea60d57e-af5b-4752-ac57-3e4f28ca11dc</vt:lpwstr>
  </property>
  <property name="MSIP_Label_ea60d57e-af5b-4752-ac57-3e4f28ca11dc_SiteId" fmtid="{D5CDD505-2E9C-101B-9397-08002B2CF9AE}" pid="6">
    <vt:lpwstr xmlns:vt="http://schemas.openxmlformats.org/officeDocument/2006/docPropsVTypes">36da45f1-dd2c-4d1f-af13-5abe46b99921</vt:lpwstr>
  </property>
  <property name="MSIP_Label_ea60d57e-af5b-4752-ac57-3e4f28ca11dc_ActionId" fmtid="{D5CDD505-2E9C-101B-9397-08002B2CF9AE}" pid="7">
    <vt:lpwstr xmlns:vt="http://schemas.openxmlformats.org/officeDocument/2006/docPropsVTypes">d9b3a079-126a-4b6f-90c9-06c2d6d262c4</vt:lpwstr>
  </property>
  <property name="MSIP_Label_ea60d57e-af5b-4752-ac57-3e4f28ca11dc_ContentBits" fmtid="{D5CDD505-2E9C-101B-9397-08002B2CF9AE}" pid="8">
    <vt:lpwstr xmlns:vt="http://schemas.openxmlformats.org/officeDocument/2006/docPropsVTypes">0</vt:lpwstr>
  </property>
</Properties>
</file>