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ALL THINGS\SOFTWARE\CODE\FINANCE\"/>
    </mc:Choice>
  </mc:AlternateContent>
  <xr:revisionPtr revIDLastSave="0" documentId="13_ncr:1_{243ADB85-8352-4C8E-9497-00B13A8D7FCB}" xr6:coauthVersionLast="47" xr6:coauthVersionMax="47" xr10:uidLastSave="{00000000-0000-0000-0000-000000000000}"/>
  <bookViews>
    <workbookView xWindow="-120" yWindow="-120" windowWidth="21840" windowHeight="16440" tabRatio="696" firstSheet="4" activeTab="6" xr2:uid="{00000000-000D-0000-FFFF-FFFF00000000}"/>
  </bookViews>
  <sheets>
    <sheet name="DCF &gt;" sheetId="18" r:id="rId1"/>
    <sheet name="WACC" sheetId="19" r:id="rId2"/>
    <sheet name="Financial_Statements&gt;" sheetId="10" r:id="rId3"/>
    <sheet name="BETA - Regression" sheetId="20" r:id="rId4"/>
    <sheet name="RM" sheetId="21" r:id="rId5"/>
    <sheet name="Intrinsic Growth" sheetId="16" r:id="rId6"/>
    <sheet name="DCF" sheetId="23" r:id="rId7"/>
    <sheet name="Historical_FS" sheetId="7" r:id="rId8"/>
    <sheet name="Ratio Analysis" sheetId="12" r:id="rId9"/>
    <sheet name="Forecasting" sheetId="14" r:id="rId10"/>
    <sheet name="DATA ROOM&gt;" sheetId="22" r:id="rId11"/>
    <sheet name="Data Sheet" sheetId="6" r:id="rId12"/>
    <sheet name="RAW FS" sheetId="17" r:id="rId13"/>
    <sheet name="Cash Flow Data" sheetId="11" r:id="rId14"/>
  </sheets>
  <externalReferences>
    <externalReference r:id="rId15"/>
    <externalReference r:id="rId16"/>
  </externalReferences>
  <definedNames>
    <definedName name="_xlnm._FilterDatabase" localSheetId="3" hidden="1">'BETA - Regression'!$B$6:$D$112</definedName>
    <definedName name="Beta">[1]Technicals!$C$11</definedName>
    <definedName name="CostofDebt">[1]Technicals!$C$14</definedName>
    <definedName name="CurrentSales">[1]Technicals!$C$29</definedName>
    <definedName name="DebtValue">[1]Technicals!$C$19</definedName>
    <definedName name="EquityValue">[1]Technicals!$C$18</definedName>
    <definedName name="ERP">[1]Technicals!$C$10</definedName>
    <definedName name="GrossMargin">[1]Technicals!$C$31</definedName>
    <definedName name="MarketReturns">[1]Technicals!$C$9</definedName>
    <definedName name="Next_Year_Sales">[1]Technicals!$C$33</definedName>
    <definedName name="RiskFreeRate">[1]Technicals!$C$7</definedName>
    <definedName name="SalesGrowth">[1]Technicals!$C$30</definedName>
    <definedName name="TaxRate">[1]Technicals!$C$15</definedName>
    <definedName name="UPDATE" localSheetId="3">'[2]Data Sheet'!$E$1</definedName>
    <definedName name="UPDATE" localSheetId="0">'[2]Data Sheet'!$E$1</definedName>
    <definedName name="UPDATE" localSheetId="4">'[2]Data Sheet'!$E$1</definedName>
    <definedName name="UPDATE" localSheetId="1">'[2]Data Sheet'!$E$1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23" l="1"/>
  <c r="H10" i="23"/>
  <c r="I10" i="23"/>
  <c r="J10" i="23" s="1"/>
  <c r="G10" i="23"/>
  <c r="K10" i="23"/>
  <c r="H34" i="16"/>
  <c r="I34" i="16"/>
  <c r="I35" i="16" s="1"/>
  <c r="J34" i="16"/>
  <c r="K34" i="16"/>
  <c r="G34" i="16"/>
  <c r="G35" i="16" s="1"/>
  <c r="H35" i="16"/>
  <c r="J35" i="16"/>
  <c r="K35" i="16"/>
  <c r="H49" i="16"/>
  <c r="H52" i="16"/>
  <c r="H44" i="16"/>
  <c r="I44" i="16"/>
  <c r="J44" i="16"/>
  <c r="K44" i="16"/>
  <c r="G44" i="16"/>
  <c r="H33" i="16"/>
  <c r="I33" i="16"/>
  <c r="J33" i="16"/>
  <c r="K33" i="16"/>
  <c r="G33" i="16"/>
  <c r="G21" i="16"/>
  <c r="G38" i="16"/>
  <c r="G10" i="16" l="1"/>
  <c r="F8" i="23"/>
  <c r="H6" i="23"/>
  <c r="I6" i="23"/>
  <c r="J6" i="23"/>
  <c r="K6" i="23"/>
  <c r="G6" i="23"/>
  <c r="F4" i="23"/>
  <c r="H2" i="23"/>
  <c r="I2" i="23"/>
  <c r="J2" i="23" s="1"/>
  <c r="K2" i="23" s="1"/>
  <c r="G2" i="23"/>
  <c r="F2" i="23"/>
  <c r="C33" i="6"/>
  <c r="D33" i="6"/>
  <c r="E33" i="6"/>
  <c r="F33" i="6"/>
  <c r="G33" i="6"/>
  <c r="H33" i="6"/>
  <c r="I33" i="6"/>
  <c r="J33" i="6"/>
  <c r="K33" i="6"/>
  <c r="B33" i="6"/>
  <c r="F9" i="21"/>
  <c r="F11" i="21"/>
  <c r="M7" i="20"/>
  <c r="J6" i="20" s="1"/>
  <c r="J12" i="20" s="1"/>
  <c r="D8" i="20"/>
  <c r="M4" i="20" s="1"/>
  <c r="G8" i="20"/>
  <c r="M5" i="20" s="1"/>
  <c r="D9" i="20"/>
  <c r="G9" i="20"/>
  <c r="D10" i="20"/>
  <c r="G10" i="20"/>
  <c r="D11" i="20"/>
  <c r="G11" i="20"/>
  <c r="D12" i="20"/>
  <c r="G12" i="20"/>
  <c r="D13" i="20"/>
  <c r="G13" i="20"/>
  <c r="D14" i="20"/>
  <c r="G14" i="20"/>
  <c r="D15" i="20"/>
  <c r="G15" i="20"/>
  <c r="D16" i="20"/>
  <c r="G16" i="20"/>
  <c r="D17" i="20"/>
  <c r="G17" i="20"/>
  <c r="D18" i="20"/>
  <c r="G18" i="20"/>
  <c r="D19" i="20"/>
  <c r="G19" i="20"/>
  <c r="D20" i="20"/>
  <c r="G20" i="20"/>
  <c r="D21" i="20"/>
  <c r="G21" i="20"/>
  <c r="D22" i="20"/>
  <c r="G22" i="20"/>
  <c r="D23" i="20"/>
  <c r="G23" i="20"/>
  <c r="D24" i="20"/>
  <c r="G24" i="20"/>
  <c r="D25" i="20"/>
  <c r="G25" i="20"/>
  <c r="D26" i="20"/>
  <c r="G26" i="20"/>
  <c r="D27" i="20"/>
  <c r="G27" i="20"/>
  <c r="D28" i="20"/>
  <c r="G28" i="20"/>
  <c r="D29" i="20"/>
  <c r="G29" i="20"/>
  <c r="D30" i="20"/>
  <c r="G30" i="20"/>
  <c r="D31" i="20"/>
  <c r="G31" i="20"/>
  <c r="D32" i="20"/>
  <c r="G32" i="20"/>
  <c r="D33" i="20"/>
  <c r="G33" i="20"/>
  <c r="D34" i="20"/>
  <c r="G34" i="20"/>
  <c r="D35" i="20"/>
  <c r="G35" i="20"/>
  <c r="D36" i="20"/>
  <c r="G36" i="20"/>
  <c r="D37" i="20"/>
  <c r="G37" i="20"/>
  <c r="D38" i="20"/>
  <c r="G38" i="20"/>
  <c r="D39" i="20"/>
  <c r="G39" i="20"/>
  <c r="D40" i="20"/>
  <c r="G40" i="20"/>
  <c r="D41" i="20"/>
  <c r="G41" i="20"/>
  <c r="D42" i="20"/>
  <c r="G42" i="20"/>
  <c r="D43" i="20"/>
  <c r="G43" i="20"/>
  <c r="D44" i="20"/>
  <c r="G44" i="20"/>
  <c r="D45" i="20"/>
  <c r="G45" i="20"/>
  <c r="D46" i="20"/>
  <c r="G46" i="20"/>
  <c r="D47" i="20"/>
  <c r="G47" i="20"/>
  <c r="D48" i="20"/>
  <c r="G48" i="20"/>
  <c r="D49" i="20"/>
  <c r="G49" i="20"/>
  <c r="D50" i="20"/>
  <c r="G50" i="20"/>
  <c r="D51" i="20"/>
  <c r="G51" i="20"/>
  <c r="D52" i="20"/>
  <c r="G52" i="20"/>
  <c r="D53" i="20"/>
  <c r="G53" i="20"/>
  <c r="D54" i="20"/>
  <c r="G54" i="20"/>
  <c r="D55" i="20"/>
  <c r="G55" i="20"/>
  <c r="D56" i="20"/>
  <c r="G56" i="20"/>
  <c r="D57" i="20"/>
  <c r="G57" i="20"/>
  <c r="D58" i="20"/>
  <c r="G58" i="20"/>
  <c r="D59" i="20"/>
  <c r="G59" i="20"/>
  <c r="D60" i="20"/>
  <c r="G60" i="20"/>
  <c r="D61" i="20"/>
  <c r="G61" i="20"/>
  <c r="D62" i="20"/>
  <c r="G62" i="20"/>
  <c r="D63" i="20"/>
  <c r="G63" i="20"/>
  <c r="D64" i="20"/>
  <c r="G64" i="20"/>
  <c r="D65" i="20"/>
  <c r="G65" i="20"/>
  <c r="D66" i="20"/>
  <c r="G66" i="20"/>
  <c r="D67" i="20"/>
  <c r="G67" i="20"/>
  <c r="D68" i="20"/>
  <c r="G68" i="20"/>
  <c r="D69" i="20"/>
  <c r="G69" i="20"/>
  <c r="D70" i="20"/>
  <c r="G70" i="20"/>
  <c r="D71" i="20"/>
  <c r="G71" i="20"/>
  <c r="D72" i="20"/>
  <c r="G72" i="20"/>
  <c r="D73" i="20"/>
  <c r="G73" i="20"/>
  <c r="D74" i="20"/>
  <c r="G74" i="20"/>
  <c r="D75" i="20"/>
  <c r="G75" i="20"/>
  <c r="D76" i="20"/>
  <c r="G76" i="20"/>
  <c r="D77" i="20"/>
  <c r="G77" i="20"/>
  <c r="D78" i="20"/>
  <c r="G78" i="20"/>
  <c r="D79" i="20"/>
  <c r="G79" i="20"/>
  <c r="D80" i="20"/>
  <c r="G80" i="20"/>
  <c r="D81" i="20"/>
  <c r="G81" i="20"/>
  <c r="D82" i="20"/>
  <c r="G82" i="20"/>
  <c r="D83" i="20"/>
  <c r="G83" i="20"/>
  <c r="D84" i="20"/>
  <c r="G84" i="20"/>
  <c r="D85" i="20"/>
  <c r="G85" i="20"/>
  <c r="D86" i="20"/>
  <c r="G86" i="20"/>
  <c r="D87" i="20"/>
  <c r="G87" i="20"/>
  <c r="D88" i="20"/>
  <c r="G88" i="20"/>
  <c r="D89" i="20"/>
  <c r="G89" i="20"/>
  <c r="D90" i="20"/>
  <c r="G90" i="20"/>
  <c r="D91" i="20"/>
  <c r="G91" i="20"/>
  <c r="D92" i="20"/>
  <c r="G92" i="20"/>
  <c r="D93" i="20"/>
  <c r="G93" i="20"/>
  <c r="D94" i="20"/>
  <c r="G94" i="20"/>
  <c r="D95" i="20"/>
  <c r="G95" i="20"/>
  <c r="D96" i="20"/>
  <c r="G96" i="20"/>
  <c r="D97" i="20"/>
  <c r="G97" i="20"/>
  <c r="D98" i="20"/>
  <c r="G98" i="20"/>
  <c r="D99" i="20"/>
  <c r="G99" i="20"/>
  <c r="D100" i="20"/>
  <c r="G100" i="20"/>
  <c r="D101" i="20"/>
  <c r="G101" i="20"/>
  <c r="D102" i="20"/>
  <c r="G102" i="20"/>
  <c r="D103" i="20"/>
  <c r="G103" i="20"/>
  <c r="D104" i="20"/>
  <c r="G104" i="20"/>
  <c r="D105" i="20"/>
  <c r="G105" i="20"/>
  <c r="D106" i="20"/>
  <c r="G106" i="20"/>
  <c r="D107" i="20"/>
  <c r="G107" i="20"/>
  <c r="D108" i="20"/>
  <c r="G108" i="20"/>
  <c r="D109" i="20"/>
  <c r="G109" i="20"/>
  <c r="D110" i="20"/>
  <c r="G110" i="20"/>
  <c r="D111" i="20"/>
  <c r="G111" i="20"/>
  <c r="D112" i="20"/>
  <c r="G112" i="20"/>
  <c r="F22" i="19"/>
  <c r="G22" i="19"/>
  <c r="H22" i="19"/>
  <c r="I22" i="19"/>
  <c r="J22" i="19"/>
  <c r="F23" i="19"/>
  <c r="G23" i="19"/>
  <c r="H23" i="19"/>
  <c r="I23" i="19"/>
  <c r="J23" i="19"/>
  <c r="J36" i="19" s="1"/>
  <c r="E28" i="19"/>
  <c r="E30" i="19" s="1"/>
  <c r="H46" i="19" s="1"/>
  <c r="E29" i="19"/>
  <c r="J38" i="19" s="1"/>
  <c r="C37" i="19"/>
  <c r="C39" i="19" s="1"/>
  <c r="E37" i="19"/>
  <c r="C38" i="19"/>
  <c r="H47" i="19"/>
  <c r="D37" i="19" l="1"/>
  <c r="D41" i="19" s="1"/>
  <c r="D38" i="19"/>
  <c r="D39" i="19"/>
  <c r="E39" i="19" s="1"/>
  <c r="E38" i="19" s="1"/>
  <c r="H44" i="19" s="1"/>
  <c r="E41" i="19" l="1"/>
  <c r="J37" i="19" s="1"/>
  <c r="J39" i="19" s="1"/>
  <c r="J30" i="19" s="1"/>
  <c r="J29" i="19"/>
  <c r="J31" i="19" l="1"/>
  <c r="H43" i="19" s="1"/>
  <c r="H49" i="19" s="1"/>
  <c r="I49" i="16" l="1"/>
  <c r="J49" i="16"/>
  <c r="K49" i="16"/>
  <c r="N29" i="17"/>
  <c r="M29" i="17"/>
  <c r="L29" i="17"/>
  <c r="K29" i="17"/>
  <c r="J29" i="17"/>
  <c r="I29" i="17"/>
  <c r="H29" i="17"/>
  <c r="G29" i="17"/>
  <c r="F29" i="17"/>
  <c r="E29" i="17"/>
  <c r="D29" i="17"/>
  <c r="C29" i="17"/>
  <c r="H38" i="16"/>
  <c r="H47" i="16" s="1"/>
  <c r="I38" i="16"/>
  <c r="I47" i="16" s="1"/>
  <c r="J38" i="16"/>
  <c r="J47" i="16" s="1"/>
  <c r="K38" i="16"/>
  <c r="K47" i="16" s="1"/>
  <c r="G47" i="16"/>
  <c r="G49" i="16" s="1"/>
  <c r="B34" i="16"/>
  <c r="G25" i="16"/>
  <c r="H25" i="16"/>
  <c r="I25" i="16"/>
  <c r="J25" i="16"/>
  <c r="K25" i="16"/>
  <c r="G26" i="16"/>
  <c r="H26" i="16"/>
  <c r="I26" i="16"/>
  <c r="J26" i="16"/>
  <c r="K26" i="16"/>
  <c r="G27" i="16"/>
  <c r="H27" i="16"/>
  <c r="I27" i="16"/>
  <c r="J27" i="16"/>
  <c r="K27" i="16"/>
  <c r="G28" i="16"/>
  <c r="H28" i="16"/>
  <c r="I28" i="16"/>
  <c r="J28" i="16"/>
  <c r="K28" i="16"/>
  <c r="G29" i="16"/>
  <c r="H29" i="16"/>
  <c r="I29" i="16"/>
  <c r="J29" i="16"/>
  <c r="K29" i="16"/>
  <c r="G30" i="16"/>
  <c r="H30" i="16"/>
  <c r="I30" i="16"/>
  <c r="J30" i="16"/>
  <c r="K30" i="16"/>
  <c r="G31" i="16"/>
  <c r="H31" i="16"/>
  <c r="I31" i="16"/>
  <c r="J31" i="16"/>
  <c r="K31" i="16"/>
  <c r="G32" i="16"/>
  <c r="H32" i="16"/>
  <c r="I32" i="16"/>
  <c r="J32" i="16"/>
  <c r="K32" i="16"/>
  <c r="H24" i="16"/>
  <c r="I24" i="16"/>
  <c r="J24" i="16"/>
  <c r="K24" i="16"/>
  <c r="G24" i="16"/>
  <c r="B32" i="16"/>
  <c r="B31" i="16"/>
  <c r="B25" i="16"/>
  <c r="B26" i="16"/>
  <c r="B27" i="16"/>
  <c r="B28" i="16"/>
  <c r="B29" i="16"/>
  <c r="B30" i="16"/>
  <c r="B24" i="16"/>
  <c r="H18" i="16"/>
  <c r="I18" i="16"/>
  <c r="J18" i="16"/>
  <c r="K18" i="16"/>
  <c r="K19" i="16" s="1"/>
  <c r="H17" i="16"/>
  <c r="I17" i="16"/>
  <c r="J17" i="16"/>
  <c r="K17" i="16"/>
  <c r="G18" i="16"/>
  <c r="G17" i="16"/>
  <c r="B18" i="16"/>
  <c r="B17" i="16"/>
  <c r="G13" i="16"/>
  <c r="H13" i="16"/>
  <c r="I13" i="16"/>
  <c r="J13" i="16"/>
  <c r="K13" i="16"/>
  <c r="H12" i="16"/>
  <c r="I12" i="16"/>
  <c r="J12" i="16"/>
  <c r="K12" i="16"/>
  <c r="G12" i="16"/>
  <c r="G11" i="16"/>
  <c r="H11" i="16"/>
  <c r="I11" i="16"/>
  <c r="J11" i="16"/>
  <c r="K11" i="16"/>
  <c r="H10" i="16"/>
  <c r="I10" i="16"/>
  <c r="J10" i="16"/>
  <c r="K10" i="16"/>
  <c r="H7" i="16"/>
  <c r="I7" i="16"/>
  <c r="J7" i="16"/>
  <c r="K7" i="16"/>
  <c r="G7" i="16"/>
  <c r="B13" i="16"/>
  <c r="B12" i="16"/>
  <c r="B11" i="16"/>
  <c r="B10" i="16"/>
  <c r="C76" i="7"/>
  <c r="D76" i="7"/>
  <c r="E76" i="7"/>
  <c r="F76" i="7"/>
  <c r="G76" i="7"/>
  <c r="H76" i="7"/>
  <c r="I76" i="7"/>
  <c r="J76" i="7"/>
  <c r="K76" i="7"/>
  <c r="L76" i="7"/>
  <c r="C77" i="7"/>
  <c r="D77" i="7"/>
  <c r="E77" i="7"/>
  <c r="F77" i="7"/>
  <c r="G77" i="7"/>
  <c r="H77" i="7"/>
  <c r="I77" i="7"/>
  <c r="J77" i="7"/>
  <c r="K77" i="7"/>
  <c r="L77" i="7"/>
  <c r="J19" i="16" l="1"/>
  <c r="K14" i="16"/>
  <c r="K21" i="16" s="1"/>
  <c r="J14" i="16"/>
  <c r="J21" i="16" s="1"/>
  <c r="I14" i="16"/>
  <c r="G14" i="16"/>
  <c r="G19" i="16"/>
  <c r="H14" i="16"/>
  <c r="I19" i="16"/>
  <c r="H19" i="16"/>
  <c r="B2" i="12"/>
  <c r="B2" i="7"/>
  <c r="K37" i="16" l="1"/>
  <c r="K40" i="16" s="1"/>
  <c r="K60" i="16" s="1"/>
  <c r="J37" i="16"/>
  <c r="J40" i="16" s="1"/>
  <c r="J60" i="16" s="1"/>
  <c r="K45" i="16"/>
  <c r="K51" i="16" s="1"/>
  <c r="K52" i="16" s="1"/>
  <c r="K59" i="16" s="1"/>
  <c r="G37" i="16"/>
  <c r="G40" i="16" s="1"/>
  <c r="H21" i="16"/>
  <c r="I21" i="16"/>
  <c r="N3" i="14"/>
  <c r="H3" i="14"/>
  <c r="N6" i="14"/>
  <c r="N7" i="14" s="1"/>
  <c r="N8" i="14" s="1"/>
  <c r="N9" i="14" s="1"/>
  <c r="N10" i="14" s="1"/>
  <c r="N11" i="14" s="1"/>
  <c r="N12" i="14" s="1"/>
  <c r="N13" i="14" s="1"/>
  <c r="N14" i="14" s="1"/>
  <c r="N15" i="14" s="1"/>
  <c r="O5" i="14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B3" i="14"/>
  <c r="H6" i="14"/>
  <c r="H7" i="14" s="1"/>
  <c r="H8" i="14" s="1"/>
  <c r="H9" i="14" s="1"/>
  <c r="H10" i="14" s="1"/>
  <c r="H11" i="14" s="1"/>
  <c r="H12" i="14" s="1"/>
  <c r="H13" i="14" s="1"/>
  <c r="H14" i="14" s="1"/>
  <c r="H15" i="14" s="1"/>
  <c r="I5" i="14"/>
  <c r="I6" i="14" s="1"/>
  <c r="I7" i="14" s="1"/>
  <c r="I8" i="14" s="1"/>
  <c r="I9" i="14" s="1"/>
  <c r="I10" i="14" s="1"/>
  <c r="I11" i="14" s="1"/>
  <c r="I12" i="14" s="1"/>
  <c r="I13" i="14" s="1"/>
  <c r="I14" i="14" s="1"/>
  <c r="I15" i="14" s="1"/>
  <c r="I16" i="14" s="1"/>
  <c r="I17" i="14" s="1"/>
  <c r="I18" i="14" s="1"/>
  <c r="D15" i="14"/>
  <c r="E15" i="14" s="1"/>
  <c r="E7" i="14"/>
  <c r="E8" i="14"/>
  <c r="E9" i="14"/>
  <c r="E10" i="14"/>
  <c r="E11" i="14"/>
  <c r="E12" i="14"/>
  <c r="E13" i="14"/>
  <c r="E14" i="14"/>
  <c r="E6" i="14"/>
  <c r="D5" i="14" a="1"/>
  <c r="D5" i="14" s="1"/>
  <c r="K62" i="16" l="1"/>
  <c r="I37" i="16"/>
  <c r="I40" i="16" s="1"/>
  <c r="I60" i="16" s="1"/>
  <c r="J45" i="16"/>
  <c r="J51" i="16" s="1"/>
  <c r="J52" i="16" s="1"/>
  <c r="J59" i="16" s="1"/>
  <c r="J62" i="16" s="1"/>
  <c r="H37" i="16"/>
  <c r="H40" i="16" s="1"/>
  <c r="H60" i="16" s="1"/>
  <c r="I45" i="16"/>
  <c r="I51" i="16" s="1"/>
  <c r="I52" i="16" s="1"/>
  <c r="I59" i="16" s="1"/>
  <c r="H45" i="16"/>
  <c r="H51" i="16" s="1"/>
  <c r="K54" i="16" s="1"/>
  <c r="N16" i="14"/>
  <c r="D16" i="14"/>
  <c r="E16" i="14" s="1"/>
  <c r="H16" i="14"/>
  <c r="D17" i="14"/>
  <c r="D14" i="14"/>
  <c r="D12" i="14"/>
  <c r="D10" i="14"/>
  <c r="D6" i="14"/>
  <c r="D13" i="14"/>
  <c r="D11" i="14"/>
  <c r="D9" i="14"/>
  <c r="D8" i="14"/>
  <c r="D7" i="14"/>
  <c r="C7" i="14"/>
  <c r="C8" i="14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6" i="14"/>
  <c r="C5" i="14"/>
  <c r="B6" i="14"/>
  <c r="B7" i="14" s="1"/>
  <c r="B8" i="14" s="1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I62" i="16" l="1"/>
  <c r="H59" i="16"/>
  <c r="H62" i="16" s="1"/>
  <c r="K55" i="16"/>
  <c r="N17" i="14"/>
  <c r="D18" i="14"/>
  <c r="E18" i="14" s="1"/>
  <c r="E17" i="14"/>
  <c r="H17" i="14"/>
  <c r="C3" i="12"/>
  <c r="D3" i="12"/>
  <c r="E3" i="12"/>
  <c r="F3" i="12"/>
  <c r="G3" i="12"/>
  <c r="H3" i="12"/>
  <c r="I3" i="12"/>
  <c r="J3" i="12"/>
  <c r="K3" i="12"/>
  <c r="L3" i="12"/>
  <c r="C94" i="7"/>
  <c r="D94" i="7"/>
  <c r="E94" i="7"/>
  <c r="F94" i="7"/>
  <c r="G94" i="7"/>
  <c r="H94" i="7"/>
  <c r="I94" i="7"/>
  <c r="J94" i="7"/>
  <c r="K94" i="7"/>
  <c r="L94" i="7"/>
  <c r="M94" i="7"/>
  <c r="C95" i="7"/>
  <c r="D95" i="7"/>
  <c r="E95" i="7"/>
  <c r="F95" i="7"/>
  <c r="G95" i="7"/>
  <c r="H95" i="7"/>
  <c r="I95" i="7"/>
  <c r="J95" i="7"/>
  <c r="K95" i="7"/>
  <c r="L95" i="7"/>
  <c r="M95" i="7"/>
  <c r="C96" i="7"/>
  <c r="D96" i="7"/>
  <c r="E96" i="7"/>
  <c r="F96" i="7"/>
  <c r="G96" i="7"/>
  <c r="H96" i="7"/>
  <c r="I96" i="7"/>
  <c r="J96" i="7"/>
  <c r="K96" i="7"/>
  <c r="L96" i="7"/>
  <c r="M96" i="7"/>
  <c r="C97" i="7"/>
  <c r="D97" i="7"/>
  <c r="E97" i="7"/>
  <c r="F97" i="7"/>
  <c r="G97" i="7"/>
  <c r="H97" i="7"/>
  <c r="I97" i="7"/>
  <c r="J97" i="7"/>
  <c r="K97" i="7"/>
  <c r="L97" i="7"/>
  <c r="M97" i="7"/>
  <c r="C98" i="7"/>
  <c r="D98" i="7"/>
  <c r="E98" i="7"/>
  <c r="F98" i="7"/>
  <c r="G98" i="7"/>
  <c r="H98" i="7"/>
  <c r="I98" i="7"/>
  <c r="J98" i="7"/>
  <c r="K98" i="7"/>
  <c r="L98" i="7"/>
  <c r="M98" i="7"/>
  <c r="C99" i="7"/>
  <c r="D99" i="7"/>
  <c r="E99" i="7"/>
  <c r="F99" i="7"/>
  <c r="G99" i="7"/>
  <c r="H99" i="7"/>
  <c r="I99" i="7"/>
  <c r="J99" i="7"/>
  <c r="K99" i="7"/>
  <c r="L99" i="7"/>
  <c r="M99" i="7"/>
  <c r="C100" i="7"/>
  <c r="D100" i="7"/>
  <c r="E100" i="7"/>
  <c r="F100" i="7"/>
  <c r="G100" i="7"/>
  <c r="H100" i="7"/>
  <c r="I100" i="7"/>
  <c r="J100" i="7"/>
  <c r="K100" i="7"/>
  <c r="L100" i="7"/>
  <c r="M100" i="7"/>
  <c r="D93" i="7"/>
  <c r="E93" i="7"/>
  <c r="F93" i="7"/>
  <c r="G93" i="7"/>
  <c r="H93" i="7"/>
  <c r="I93" i="7"/>
  <c r="J93" i="7"/>
  <c r="K93" i="7"/>
  <c r="L93" i="7"/>
  <c r="M93" i="7"/>
  <c r="C93" i="7"/>
  <c r="C73" i="7"/>
  <c r="D73" i="7"/>
  <c r="E73" i="7"/>
  <c r="F73" i="7"/>
  <c r="G73" i="7"/>
  <c r="H73" i="7"/>
  <c r="I73" i="7"/>
  <c r="J73" i="7"/>
  <c r="K73" i="7"/>
  <c r="L73" i="7"/>
  <c r="C74" i="7"/>
  <c r="D74" i="7"/>
  <c r="E74" i="7"/>
  <c r="F74" i="7"/>
  <c r="G74" i="7"/>
  <c r="H74" i="7"/>
  <c r="I74" i="7"/>
  <c r="J74" i="7"/>
  <c r="K74" i="7"/>
  <c r="L74" i="7"/>
  <c r="C75" i="7"/>
  <c r="D75" i="7"/>
  <c r="E75" i="7"/>
  <c r="F75" i="7"/>
  <c r="G75" i="7"/>
  <c r="H75" i="7"/>
  <c r="I75" i="7"/>
  <c r="J75" i="7"/>
  <c r="K75" i="7"/>
  <c r="L75" i="7"/>
  <c r="C78" i="7"/>
  <c r="D78" i="7"/>
  <c r="E78" i="7"/>
  <c r="F78" i="7"/>
  <c r="G78" i="7"/>
  <c r="H78" i="7"/>
  <c r="I78" i="7"/>
  <c r="J78" i="7"/>
  <c r="K78" i="7"/>
  <c r="L78" i="7"/>
  <c r="D72" i="7"/>
  <c r="E72" i="7"/>
  <c r="F72" i="7"/>
  <c r="G72" i="7"/>
  <c r="H72" i="7"/>
  <c r="I72" i="7"/>
  <c r="J72" i="7"/>
  <c r="K72" i="7"/>
  <c r="L72" i="7"/>
  <c r="C72" i="7"/>
  <c r="C84" i="7"/>
  <c r="D84" i="7"/>
  <c r="E84" i="7"/>
  <c r="F84" i="7"/>
  <c r="G84" i="7"/>
  <c r="H84" i="7"/>
  <c r="I84" i="7"/>
  <c r="J84" i="7"/>
  <c r="K84" i="7"/>
  <c r="L84" i="7"/>
  <c r="C85" i="7"/>
  <c r="D85" i="7"/>
  <c r="E85" i="7"/>
  <c r="F85" i="7"/>
  <c r="G85" i="7"/>
  <c r="H85" i="7"/>
  <c r="I85" i="7"/>
  <c r="J85" i="7"/>
  <c r="K85" i="7"/>
  <c r="L85" i="7"/>
  <c r="C86" i="7"/>
  <c r="D86" i="7"/>
  <c r="E86" i="7"/>
  <c r="F86" i="7"/>
  <c r="G86" i="7"/>
  <c r="H86" i="7"/>
  <c r="I86" i="7"/>
  <c r="J86" i="7"/>
  <c r="K86" i="7"/>
  <c r="L86" i="7"/>
  <c r="C87" i="7"/>
  <c r="D87" i="7"/>
  <c r="E87" i="7"/>
  <c r="F87" i="7"/>
  <c r="G87" i="7"/>
  <c r="H87" i="7"/>
  <c r="I87" i="7"/>
  <c r="J87" i="7"/>
  <c r="K87" i="7"/>
  <c r="L87" i="7"/>
  <c r="C88" i="7"/>
  <c r="D88" i="7"/>
  <c r="E88" i="7"/>
  <c r="F88" i="7"/>
  <c r="G88" i="7"/>
  <c r="H88" i="7"/>
  <c r="I88" i="7"/>
  <c r="J88" i="7"/>
  <c r="K88" i="7"/>
  <c r="L88" i="7"/>
  <c r="C89" i="7"/>
  <c r="D89" i="7"/>
  <c r="E89" i="7"/>
  <c r="F89" i="7"/>
  <c r="G89" i="7"/>
  <c r="H89" i="7"/>
  <c r="I89" i="7"/>
  <c r="J89" i="7"/>
  <c r="K89" i="7"/>
  <c r="L89" i="7"/>
  <c r="D83" i="7"/>
  <c r="E83" i="7"/>
  <c r="F83" i="7"/>
  <c r="G83" i="7"/>
  <c r="H83" i="7"/>
  <c r="I83" i="7"/>
  <c r="J83" i="7"/>
  <c r="K83" i="7"/>
  <c r="L83" i="7"/>
  <c r="C83" i="7"/>
  <c r="G52" i="7"/>
  <c r="D57" i="7"/>
  <c r="E57" i="7"/>
  <c r="F57" i="7"/>
  <c r="G57" i="7"/>
  <c r="H57" i="7"/>
  <c r="I57" i="7"/>
  <c r="J57" i="7"/>
  <c r="K57" i="7"/>
  <c r="L57" i="7"/>
  <c r="C57" i="7"/>
  <c r="C61" i="7"/>
  <c r="D61" i="7"/>
  <c r="E61" i="7"/>
  <c r="F61" i="7"/>
  <c r="G61" i="7"/>
  <c r="H61" i="7"/>
  <c r="I61" i="7"/>
  <c r="J61" i="7"/>
  <c r="K61" i="7"/>
  <c r="L61" i="7"/>
  <c r="C62" i="7"/>
  <c r="D62" i="7"/>
  <c r="E62" i="7"/>
  <c r="F62" i="7"/>
  <c r="G62" i="7"/>
  <c r="H62" i="7"/>
  <c r="I62" i="7"/>
  <c r="J62" i="7"/>
  <c r="K62" i="7"/>
  <c r="L62" i="7"/>
  <c r="D60" i="7"/>
  <c r="E60" i="7"/>
  <c r="F60" i="7"/>
  <c r="G60" i="7"/>
  <c r="H60" i="7"/>
  <c r="I60" i="7"/>
  <c r="J60" i="7"/>
  <c r="K60" i="7"/>
  <c r="L60" i="7"/>
  <c r="C60" i="7"/>
  <c r="C55" i="7"/>
  <c r="D55" i="7"/>
  <c r="E55" i="7"/>
  <c r="F55" i="7"/>
  <c r="G55" i="7"/>
  <c r="H55" i="7"/>
  <c r="I55" i="7"/>
  <c r="J55" i="7"/>
  <c r="K55" i="7"/>
  <c r="L55" i="7"/>
  <c r="C56" i="7"/>
  <c r="D56" i="7"/>
  <c r="E56" i="7"/>
  <c r="F56" i="7"/>
  <c r="G56" i="7"/>
  <c r="H56" i="7"/>
  <c r="I56" i="7"/>
  <c r="J56" i="7"/>
  <c r="K56" i="7"/>
  <c r="L56" i="7"/>
  <c r="D54" i="7"/>
  <c r="E54" i="7"/>
  <c r="F54" i="7"/>
  <c r="G54" i="7"/>
  <c r="H54" i="7"/>
  <c r="I54" i="7"/>
  <c r="J54" i="7"/>
  <c r="K54" i="7"/>
  <c r="L54" i="7"/>
  <c r="C54" i="7"/>
  <c r="D48" i="7"/>
  <c r="E48" i="7"/>
  <c r="F48" i="7"/>
  <c r="G48" i="7"/>
  <c r="H48" i="7"/>
  <c r="I48" i="7"/>
  <c r="J48" i="7"/>
  <c r="K48" i="7"/>
  <c r="L48" i="7"/>
  <c r="D49" i="7"/>
  <c r="E49" i="7"/>
  <c r="F49" i="7"/>
  <c r="G49" i="7"/>
  <c r="H49" i="7"/>
  <c r="I49" i="7"/>
  <c r="J49" i="7"/>
  <c r="K49" i="7"/>
  <c r="L49" i="7"/>
  <c r="D50" i="7"/>
  <c r="E50" i="7"/>
  <c r="F50" i="7"/>
  <c r="G50" i="7"/>
  <c r="H50" i="7"/>
  <c r="I50" i="7"/>
  <c r="J50" i="7"/>
  <c r="K50" i="7"/>
  <c r="L50" i="7"/>
  <c r="D51" i="7"/>
  <c r="E51" i="7"/>
  <c r="F51" i="7"/>
  <c r="G51" i="7"/>
  <c r="H51" i="7"/>
  <c r="I51" i="7"/>
  <c r="J51" i="7"/>
  <c r="K51" i="7"/>
  <c r="L51" i="7"/>
  <c r="D52" i="7"/>
  <c r="E52" i="7"/>
  <c r="F52" i="7"/>
  <c r="H52" i="7"/>
  <c r="I52" i="7"/>
  <c r="J52" i="7"/>
  <c r="K52" i="7"/>
  <c r="L52" i="7"/>
  <c r="C49" i="7"/>
  <c r="C50" i="7"/>
  <c r="C51" i="7"/>
  <c r="C52" i="7"/>
  <c r="C48" i="7"/>
  <c r="D36" i="7"/>
  <c r="D41" i="7" s="1"/>
  <c r="C9" i="12" s="1"/>
  <c r="E36" i="7"/>
  <c r="E41" i="7" s="1"/>
  <c r="D9" i="12" s="1"/>
  <c r="F36" i="7"/>
  <c r="F41" i="7" s="1"/>
  <c r="E9" i="12" s="1"/>
  <c r="G36" i="7"/>
  <c r="G41" i="7" s="1"/>
  <c r="H36" i="7"/>
  <c r="H41" i="7" s="1"/>
  <c r="G9" i="12" s="1"/>
  <c r="I36" i="7"/>
  <c r="I41" i="7" s="1"/>
  <c r="J36" i="7"/>
  <c r="J41" i="7" s="1"/>
  <c r="I9" i="12" s="1"/>
  <c r="K36" i="7"/>
  <c r="K41" i="7" s="1"/>
  <c r="L36" i="7"/>
  <c r="M36" i="7" s="1"/>
  <c r="M41" i="7" s="1"/>
  <c r="C36" i="7"/>
  <c r="C41" i="7" s="1"/>
  <c r="M30" i="7"/>
  <c r="D30" i="7"/>
  <c r="E30" i="7"/>
  <c r="F30" i="7"/>
  <c r="G30" i="7"/>
  <c r="H30" i="7"/>
  <c r="I30" i="7"/>
  <c r="J30" i="7"/>
  <c r="K30" i="7"/>
  <c r="L30" i="7"/>
  <c r="C30" i="7"/>
  <c r="C15" i="7"/>
  <c r="D15" i="7"/>
  <c r="E15" i="7"/>
  <c r="F15" i="7"/>
  <c r="G15" i="7"/>
  <c r="H15" i="7"/>
  <c r="I15" i="7"/>
  <c r="J15" i="7"/>
  <c r="K15" i="7"/>
  <c r="L15" i="7"/>
  <c r="M15" i="7"/>
  <c r="D24" i="7"/>
  <c r="E24" i="7"/>
  <c r="F24" i="7"/>
  <c r="G24" i="7"/>
  <c r="H24" i="7"/>
  <c r="I24" i="7"/>
  <c r="J24" i="7"/>
  <c r="K24" i="7"/>
  <c r="L24" i="7"/>
  <c r="C24" i="7"/>
  <c r="M24" i="7"/>
  <c r="M21" i="7"/>
  <c r="D21" i="7"/>
  <c r="E21" i="7"/>
  <c r="F21" i="7"/>
  <c r="G21" i="7"/>
  <c r="H21" i="7"/>
  <c r="I21" i="7"/>
  <c r="J21" i="7"/>
  <c r="K21" i="7"/>
  <c r="L21" i="7"/>
  <c r="C21" i="7"/>
  <c r="M18" i="7"/>
  <c r="K65" i="16" l="1"/>
  <c r="K64" i="16"/>
  <c r="E101" i="7"/>
  <c r="J101" i="7"/>
  <c r="D101" i="7"/>
  <c r="F9" i="12"/>
  <c r="L63" i="7"/>
  <c r="E58" i="7"/>
  <c r="D58" i="7"/>
  <c r="C63" i="7"/>
  <c r="J63" i="7"/>
  <c r="K63" i="7"/>
  <c r="J9" i="12"/>
  <c r="C101" i="7"/>
  <c r="D79" i="7"/>
  <c r="E79" i="7"/>
  <c r="I101" i="7"/>
  <c r="D90" i="7"/>
  <c r="E90" i="7"/>
  <c r="G63" i="7"/>
  <c r="K101" i="7"/>
  <c r="F63" i="7"/>
  <c r="L101" i="7"/>
  <c r="H79" i="7"/>
  <c r="G101" i="7"/>
  <c r="I63" i="7"/>
  <c r="H63" i="7"/>
  <c r="C58" i="7"/>
  <c r="C65" i="7" s="1"/>
  <c r="C67" i="7" s="1"/>
  <c r="L58" i="7"/>
  <c r="L65" i="7" s="1"/>
  <c r="L67" i="7" s="1"/>
  <c r="G58" i="7"/>
  <c r="J79" i="7"/>
  <c r="K90" i="7"/>
  <c r="I79" i="7"/>
  <c r="H101" i="7"/>
  <c r="H9" i="12"/>
  <c r="G79" i="7"/>
  <c r="F101" i="7"/>
  <c r="F79" i="7"/>
  <c r="E63" i="7"/>
  <c r="E65" i="7" s="1"/>
  <c r="E67" i="7" s="1"/>
  <c r="J58" i="7"/>
  <c r="J65" i="7" s="1"/>
  <c r="J67" i="7" s="1"/>
  <c r="D63" i="7"/>
  <c r="D65" i="7" s="1"/>
  <c r="D67" i="7" s="1"/>
  <c r="C79" i="7"/>
  <c r="K58" i="7"/>
  <c r="F58" i="7"/>
  <c r="I58" i="7"/>
  <c r="C90" i="7"/>
  <c r="J90" i="7"/>
  <c r="H90" i="7"/>
  <c r="F90" i="7"/>
  <c r="L79" i="7"/>
  <c r="H58" i="7"/>
  <c r="L90" i="7"/>
  <c r="I90" i="7"/>
  <c r="G90" i="7"/>
  <c r="K79" i="7"/>
  <c r="N18" i="14"/>
  <c r="H18" i="14"/>
  <c r="M27" i="7"/>
  <c r="L41" i="7"/>
  <c r="M31" i="7"/>
  <c r="M9" i="7"/>
  <c r="M10" i="7" s="1"/>
  <c r="D9" i="7"/>
  <c r="D10" i="7" s="1"/>
  <c r="E9" i="7"/>
  <c r="F9" i="7"/>
  <c r="G9" i="7"/>
  <c r="H9" i="7"/>
  <c r="I9" i="7"/>
  <c r="J9" i="7"/>
  <c r="K9" i="7"/>
  <c r="L9" i="7"/>
  <c r="C9" i="7"/>
  <c r="M6" i="7"/>
  <c r="M19" i="7" s="1"/>
  <c r="D6" i="7"/>
  <c r="E6" i="7"/>
  <c r="F6" i="7"/>
  <c r="G6" i="7"/>
  <c r="H6" i="7"/>
  <c r="I6" i="7"/>
  <c r="J6" i="7"/>
  <c r="K6" i="7"/>
  <c r="L6" i="7"/>
  <c r="C6" i="7"/>
  <c r="D3" i="7"/>
  <c r="E3" i="7"/>
  <c r="F3" i="7"/>
  <c r="G3" i="7"/>
  <c r="H3" i="7"/>
  <c r="I3" i="7"/>
  <c r="J3" i="7"/>
  <c r="K3" i="7"/>
  <c r="L3" i="7"/>
  <c r="C3" i="7"/>
  <c r="B6" i="6"/>
  <c r="I103" i="7" l="1"/>
  <c r="L80" i="7"/>
  <c r="G80" i="7"/>
  <c r="H80" i="7"/>
  <c r="D80" i="7"/>
  <c r="K80" i="7"/>
  <c r="E80" i="7"/>
  <c r="F80" i="7"/>
  <c r="I80" i="7"/>
  <c r="J80" i="7"/>
  <c r="C80" i="7"/>
  <c r="J103" i="7"/>
  <c r="H103" i="7"/>
  <c r="C103" i="7"/>
  <c r="H10" i="7"/>
  <c r="G10" i="7"/>
  <c r="G65" i="7"/>
  <c r="G67" i="7" s="1"/>
  <c r="K65" i="7"/>
  <c r="K67" i="7" s="1"/>
  <c r="J29" i="12"/>
  <c r="J35" i="12" s="1"/>
  <c r="J30" i="12"/>
  <c r="J36" i="12" s="1"/>
  <c r="J28" i="12"/>
  <c r="J34" i="12" s="1"/>
  <c r="J31" i="12"/>
  <c r="J32" i="12"/>
  <c r="D40" i="12"/>
  <c r="D41" i="12"/>
  <c r="D39" i="12"/>
  <c r="I28" i="12"/>
  <c r="I34" i="12" s="1"/>
  <c r="I30" i="12"/>
  <c r="I36" i="12" s="1"/>
  <c r="I29" i="12"/>
  <c r="I35" i="12" s="1"/>
  <c r="I32" i="12"/>
  <c r="I31" i="12"/>
  <c r="G40" i="12"/>
  <c r="G39" i="12"/>
  <c r="G41" i="12"/>
  <c r="H39" i="12"/>
  <c r="H41" i="12"/>
  <c r="H28" i="12"/>
  <c r="H34" i="12" s="1"/>
  <c r="H31" i="12"/>
  <c r="H30" i="12"/>
  <c r="H36" i="12" s="1"/>
  <c r="H32" i="12"/>
  <c r="H29" i="12"/>
  <c r="H35" i="12" s="1"/>
  <c r="H37" i="12" s="1"/>
  <c r="K41" i="12"/>
  <c r="K40" i="12"/>
  <c r="K39" i="12"/>
  <c r="G30" i="12"/>
  <c r="G36" i="12" s="1"/>
  <c r="G31" i="12"/>
  <c r="G28" i="12"/>
  <c r="G34" i="12" s="1"/>
  <c r="G32" i="12"/>
  <c r="G29" i="12"/>
  <c r="G35" i="12" s="1"/>
  <c r="K103" i="7"/>
  <c r="F65" i="7"/>
  <c r="F67" i="7" s="1"/>
  <c r="F12" i="7"/>
  <c r="F30" i="12"/>
  <c r="F36" i="12" s="1"/>
  <c r="F31" i="12"/>
  <c r="F32" i="12"/>
  <c r="F29" i="12"/>
  <c r="F35" i="12" s="1"/>
  <c r="F28" i="12"/>
  <c r="F34" i="12" s="1"/>
  <c r="D103" i="7"/>
  <c r="I39" i="12"/>
  <c r="I41" i="12"/>
  <c r="E31" i="12"/>
  <c r="E32" i="12"/>
  <c r="E30" i="12"/>
  <c r="E36" i="12" s="1"/>
  <c r="E29" i="12"/>
  <c r="E35" i="12" s="1"/>
  <c r="E28" i="12"/>
  <c r="E34" i="12" s="1"/>
  <c r="D16" i="7"/>
  <c r="D18" i="12" s="1"/>
  <c r="D31" i="12"/>
  <c r="D32" i="12"/>
  <c r="D30" i="12"/>
  <c r="D28" i="12"/>
  <c r="D29" i="12"/>
  <c r="C41" i="12"/>
  <c r="C39" i="12"/>
  <c r="C40" i="12"/>
  <c r="J40" i="12"/>
  <c r="J39" i="12"/>
  <c r="J41" i="12"/>
  <c r="L41" i="12"/>
  <c r="L40" i="12"/>
  <c r="L39" i="12"/>
  <c r="C16" i="7"/>
  <c r="C18" i="12" s="1"/>
  <c r="C29" i="12"/>
  <c r="C30" i="12"/>
  <c r="C28" i="12"/>
  <c r="C31" i="12"/>
  <c r="C32" i="12"/>
  <c r="K9" i="12"/>
  <c r="O9" i="12" s="1"/>
  <c r="L9" i="12"/>
  <c r="L103" i="7"/>
  <c r="L7" i="7"/>
  <c r="K5" i="12" s="1"/>
  <c r="L28" i="12"/>
  <c r="L34" i="12" s="1"/>
  <c r="L29" i="12"/>
  <c r="L35" i="12" s="1"/>
  <c r="L32" i="12"/>
  <c r="L31" i="12"/>
  <c r="L30" i="12"/>
  <c r="L36" i="12" s="1"/>
  <c r="M33" i="7"/>
  <c r="M38" i="7" s="1"/>
  <c r="M42" i="7" s="1"/>
  <c r="M44" i="7" s="1"/>
  <c r="F39" i="12"/>
  <c r="F40" i="12"/>
  <c r="F41" i="12"/>
  <c r="H65" i="7"/>
  <c r="H67" i="7" s="1"/>
  <c r="E39" i="12"/>
  <c r="E41" i="12"/>
  <c r="E40" i="12"/>
  <c r="K29" i="12"/>
  <c r="K35" i="12" s="1"/>
  <c r="K28" i="12"/>
  <c r="K34" i="12" s="1"/>
  <c r="K31" i="12"/>
  <c r="K30" i="12"/>
  <c r="K36" i="12" s="1"/>
  <c r="K32" i="12"/>
  <c r="G103" i="7"/>
  <c r="F103" i="7"/>
  <c r="I65" i="7"/>
  <c r="I67" i="7" s="1"/>
  <c r="E103" i="7"/>
  <c r="F10" i="7"/>
  <c r="E10" i="7"/>
  <c r="G12" i="7"/>
  <c r="M28" i="7"/>
  <c r="L10" i="7"/>
  <c r="K10" i="7"/>
  <c r="K7" i="7"/>
  <c r="J5" i="12" s="1"/>
  <c r="J7" i="7"/>
  <c r="I5" i="12" s="1"/>
  <c r="C10" i="7"/>
  <c r="H16" i="7"/>
  <c r="H18" i="12" s="1"/>
  <c r="H22" i="7"/>
  <c r="H25" i="7"/>
  <c r="H19" i="12" s="1"/>
  <c r="G22" i="7"/>
  <c r="G16" i="7"/>
  <c r="G18" i="12" s="1"/>
  <c r="G25" i="7"/>
  <c r="G19" i="12" s="1"/>
  <c r="M25" i="7"/>
  <c r="M16" i="7"/>
  <c r="D22" i="7"/>
  <c r="C25" i="7"/>
  <c r="C19" i="12" s="1"/>
  <c r="C22" i="7"/>
  <c r="I7" i="7"/>
  <c r="H5" i="12" s="1"/>
  <c r="D25" i="7"/>
  <c r="D19" i="12" s="1"/>
  <c r="F22" i="7"/>
  <c r="F25" i="7"/>
  <c r="F19" i="12" s="1"/>
  <c r="F16" i="7"/>
  <c r="F18" i="12" s="1"/>
  <c r="F7" i="7"/>
  <c r="E5" i="12" s="1"/>
  <c r="M7" i="7"/>
  <c r="L5" i="12" s="1"/>
  <c r="M22" i="7"/>
  <c r="E16" i="7"/>
  <c r="E18" i="12" s="1"/>
  <c r="K16" i="7"/>
  <c r="K18" i="12" s="1"/>
  <c r="K22" i="7"/>
  <c r="K25" i="7"/>
  <c r="K19" i="12" s="1"/>
  <c r="J10" i="7"/>
  <c r="H7" i="7"/>
  <c r="G5" i="12" s="1"/>
  <c r="E25" i="7"/>
  <c r="E19" i="12" s="1"/>
  <c r="I22" i="7"/>
  <c r="I25" i="7"/>
  <c r="I19" i="12" s="1"/>
  <c r="I16" i="7"/>
  <c r="I18" i="12" s="1"/>
  <c r="L16" i="7"/>
  <c r="L18" i="12" s="1"/>
  <c r="L22" i="7"/>
  <c r="L25" i="7"/>
  <c r="L19" i="12" s="1"/>
  <c r="J22" i="7"/>
  <c r="J25" i="7"/>
  <c r="J19" i="12" s="1"/>
  <c r="J16" i="7"/>
  <c r="J18" i="12" s="1"/>
  <c r="I10" i="7"/>
  <c r="G7" i="7"/>
  <c r="F5" i="12" s="1"/>
  <c r="E22" i="7"/>
  <c r="K12" i="7"/>
  <c r="E7" i="7"/>
  <c r="D5" i="12" s="1"/>
  <c r="J12" i="7"/>
  <c r="L12" i="7"/>
  <c r="I12" i="7"/>
  <c r="E12" i="7"/>
  <c r="D12" i="7"/>
  <c r="D7" i="7"/>
  <c r="C5" i="12" s="1"/>
  <c r="H12" i="7"/>
  <c r="M12" i="7"/>
  <c r="M13" i="7" s="1"/>
  <c r="C12" i="7"/>
  <c r="O18" i="12" l="1"/>
  <c r="H40" i="12"/>
  <c r="O19" i="12"/>
  <c r="C36" i="12"/>
  <c r="N30" i="12"/>
  <c r="F37" i="12"/>
  <c r="H18" i="7"/>
  <c r="H13" i="7"/>
  <c r="H11" i="12" s="1"/>
  <c r="C35" i="12"/>
  <c r="N29" i="12"/>
  <c r="E37" i="12"/>
  <c r="N18" i="12"/>
  <c r="N19" i="12"/>
  <c r="E18" i="7"/>
  <c r="E27" i="7" s="1"/>
  <c r="E13" i="7"/>
  <c r="E11" i="12" s="1"/>
  <c r="N41" i="12"/>
  <c r="F18" i="7"/>
  <c r="F13" i="7"/>
  <c r="F11" i="12" s="1"/>
  <c r="I18" i="7"/>
  <c r="I13" i="7"/>
  <c r="I11" i="12" s="1"/>
  <c r="D35" i="12"/>
  <c r="O29" i="12"/>
  <c r="G37" i="12"/>
  <c r="D36" i="12"/>
  <c r="O36" i="12" s="1"/>
  <c r="O30" i="12"/>
  <c r="N32" i="12"/>
  <c r="O32" i="12"/>
  <c r="N28" i="12"/>
  <c r="C34" i="12"/>
  <c r="N5" i="12"/>
  <c r="N39" i="12"/>
  <c r="D18" i="7"/>
  <c r="D13" i="7"/>
  <c r="D11" i="12" s="1"/>
  <c r="L37" i="12"/>
  <c r="M34" i="7"/>
  <c r="L18" i="7"/>
  <c r="L13" i="7"/>
  <c r="L11" i="12" s="1"/>
  <c r="I40" i="12"/>
  <c r="N40" i="12" s="1"/>
  <c r="J18" i="7"/>
  <c r="J13" i="7"/>
  <c r="J11" i="12" s="1"/>
  <c r="D34" i="12"/>
  <c r="O34" i="12" s="1"/>
  <c r="O28" i="12"/>
  <c r="O5" i="12"/>
  <c r="G18" i="7"/>
  <c r="G13" i="7"/>
  <c r="G11" i="12" s="1"/>
  <c r="C18" i="7"/>
  <c r="C27" i="7" s="1"/>
  <c r="C13" i="7"/>
  <c r="C11" i="12" s="1"/>
  <c r="K18" i="7"/>
  <c r="K27" i="7" s="1"/>
  <c r="K13" i="7"/>
  <c r="K11" i="12" s="1"/>
  <c r="K37" i="12"/>
  <c r="N31" i="12"/>
  <c r="O31" i="12"/>
  <c r="I37" i="12"/>
  <c r="J37" i="12"/>
  <c r="H27" i="7"/>
  <c r="H19" i="7"/>
  <c r="H13" i="12" s="1"/>
  <c r="I27" i="7"/>
  <c r="I19" i="7"/>
  <c r="I13" i="12" s="1"/>
  <c r="J27" i="7"/>
  <c r="D27" i="7"/>
  <c r="D7" i="12" l="1"/>
  <c r="D8" i="12"/>
  <c r="J8" i="12"/>
  <c r="J7" i="12"/>
  <c r="G7" i="12"/>
  <c r="G8" i="12"/>
  <c r="O11" i="12"/>
  <c r="I8" i="12"/>
  <c r="I7" i="12"/>
  <c r="H7" i="12"/>
  <c r="H8" i="12"/>
  <c r="K19" i="7"/>
  <c r="K13" i="12" s="1"/>
  <c r="K14" i="12"/>
  <c r="K20" i="12" s="1"/>
  <c r="K22" i="12"/>
  <c r="K26" i="12"/>
  <c r="J6" i="12"/>
  <c r="L19" i="7"/>
  <c r="L13" i="12" s="1"/>
  <c r="L26" i="12"/>
  <c r="L14" i="12"/>
  <c r="L20" i="12" s="1"/>
  <c r="K6" i="12"/>
  <c r="L6" i="12"/>
  <c r="L22" i="12"/>
  <c r="N11" i="12"/>
  <c r="L27" i="7"/>
  <c r="C19" i="7"/>
  <c r="C13" i="12" s="1"/>
  <c r="J5" i="14" a="1"/>
  <c r="C26" i="12"/>
  <c r="C14" i="12"/>
  <c r="C22" i="12"/>
  <c r="C7" i="12"/>
  <c r="C8" i="12"/>
  <c r="G19" i="7"/>
  <c r="G13" i="12" s="1"/>
  <c r="G22" i="12"/>
  <c r="F6" i="12"/>
  <c r="G14" i="12"/>
  <c r="G20" i="12" s="1"/>
  <c r="G26" i="12"/>
  <c r="G27" i="7"/>
  <c r="O35" i="12"/>
  <c r="D37" i="12"/>
  <c r="O37" i="12" s="1"/>
  <c r="I22" i="12"/>
  <c r="I26" i="12"/>
  <c r="I14" i="12"/>
  <c r="I20" i="12" s="1"/>
  <c r="H6" i="12"/>
  <c r="H22" i="12"/>
  <c r="H14" i="12"/>
  <c r="H20" i="12" s="1"/>
  <c r="G6" i="12"/>
  <c r="H26" i="12"/>
  <c r="N34" i="12"/>
  <c r="F19" i="7"/>
  <c r="F13" i="12" s="1"/>
  <c r="F22" i="12"/>
  <c r="E6" i="12"/>
  <c r="F26" i="12"/>
  <c r="F14" i="12"/>
  <c r="F20" i="12" s="1"/>
  <c r="F27" i="7"/>
  <c r="E19" i="7"/>
  <c r="E13" i="12" s="1"/>
  <c r="D6" i="12"/>
  <c r="E26" i="12"/>
  <c r="E22" i="12"/>
  <c r="E14" i="12"/>
  <c r="E20" i="12" s="1"/>
  <c r="D19" i="7"/>
  <c r="D13" i="12" s="1"/>
  <c r="O13" i="12" s="1"/>
  <c r="D26" i="12"/>
  <c r="D14" i="12"/>
  <c r="C6" i="12"/>
  <c r="D22" i="12"/>
  <c r="N35" i="12"/>
  <c r="C37" i="12"/>
  <c r="N37" i="12" s="1"/>
  <c r="J19" i="7"/>
  <c r="J13" i="12" s="1"/>
  <c r="J14" i="12"/>
  <c r="J20" i="12" s="1"/>
  <c r="J22" i="12"/>
  <c r="J26" i="12"/>
  <c r="I6" i="12"/>
  <c r="N36" i="12"/>
  <c r="H28" i="7"/>
  <c r="H15" i="12" s="1"/>
  <c r="H33" i="7"/>
  <c r="H24" i="12" s="1"/>
  <c r="H31" i="7"/>
  <c r="C28" i="7"/>
  <c r="C15" i="12" s="1"/>
  <c r="C31" i="7"/>
  <c r="C33" i="7"/>
  <c r="C24" i="12" s="1"/>
  <c r="D28" i="7"/>
  <c r="D15" i="12" s="1"/>
  <c r="D33" i="7"/>
  <c r="D24" i="12" s="1"/>
  <c r="D31" i="7"/>
  <c r="K33" i="7"/>
  <c r="K24" i="12" s="1"/>
  <c r="K28" i="7"/>
  <c r="K15" i="12" s="1"/>
  <c r="K31" i="7"/>
  <c r="J33" i="7"/>
  <c r="J24" i="12" s="1"/>
  <c r="J28" i="7"/>
  <c r="J15" i="12" s="1"/>
  <c r="J31" i="7"/>
  <c r="I33" i="7"/>
  <c r="I24" i="12" s="1"/>
  <c r="I28" i="7"/>
  <c r="I15" i="12" s="1"/>
  <c r="I31" i="7"/>
  <c r="E28" i="7"/>
  <c r="E15" i="12" s="1"/>
  <c r="E33" i="7"/>
  <c r="E24" i="12" s="1"/>
  <c r="E31" i="7"/>
  <c r="K8" i="12" l="1"/>
  <c r="K7" i="12"/>
  <c r="L7" i="12"/>
  <c r="L8" i="12"/>
  <c r="N22" i="12"/>
  <c r="O22" i="12"/>
  <c r="C20" i="12"/>
  <c r="N20" i="12" s="1"/>
  <c r="N14" i="12"/>
  <c r="L31" i="7"/>
  <c r="N6" i="12"/>
  <c r="N26" i="12"/>
  <c r="L33" i="7"/>
  <c r="L24" i="12" s="1"/>
  <c r="D20" i="12"/>
  <c r="O20" i="12" s="1"/>
  <c r="O14" i="12"/>
  <c r="J13" i="14"/>
  <c r="J12" i="14"/>
  <c r="J11" i="14"/>
  <c r="J10" i="14"/>
  <c r="J9" i="14"/>
  <c r="J8" i="14"/>
  <c r="J7" i="14"/>
  <c r="J6" i="14"/>
  <c r="J5" i="14"/>
  <c r="J14" i="14"/>
  <c r="O6" i="12"/>
  <c r="E7" i="12"/>
  <c r="E8" i="12"/>
  <c r="F33" i="7"/>
  <c r="F28" i="7"/>
  <c r="F15" i="12" s="1"/>
  <c r="F31" i="7"/>
  <c r="L28" i="7"/>
  <c r="L15" i="12" s="1"/>
  <c r="O26" i="12"/>
  <c r="F8" i="12"/>
  <c r="F7" i="12"/>
  <c r="G33" i="7"/>
  <c r="G31" i="7"/>
  <c r="G28" i="7"/>
  <c r="G15" i="12" s="1"/>
  <c r="N13" i="12"/>
  <c r="J38" i="7"/>
  <c r="J34" i="7"/>
  <c r="J16" i="12" s="1"/>
  <c r="K34" i="7"/>
  <c r="K16" i="12" s="1"/>
  <c r="K38" i="7"/>
  <c r="E34" i="7"/>
  <c r="E16" i="12" s="1"/>
  <c r="E38" i="7"/>
  <c r="D34" i="7"/>
  <c r="D16" i="12" s="1"/>
  <c r="D38" i="7"/>
  <c r="I38" i="7"/>
  <c r="I34" i="7"/>
  <c r="I16" i="12" s="1"/>
  <c r="H34" i="7"/>
  <c r="H16" i="12" s="1"/>
  <c r="H38" i="7"/>
  <c r="C34" i="7"/>
  <c r="C16" i="12" s="1"/>
  <c r="C38" i="7"/>
  <c r="L34" i="7" l="1"/>
  <c r="L16" i="12" s="1"/>
  <c r="O7" i="12"/>
  <c r="O8" i="12"/>
  <c r="N15" i="12"/>
  <c r="N7" i="12"/>
  <c r="L38" i="7"/>
  <c r="L39" i="7" s="1"/>
  <c r="G24" i="12"/>
  <c r="G38" i="7"/>
  <c r="G34" i="7"/>
  <c r="G16" i="12" s="1"/>
  <c r="K13" i="14"/>
  <c r="J15" i="14"/>
  <c r="K15" i="14" s="1"/>
  <c r="K10" i="14"/>
  <c r="K11" i="14"/>
  <c r="K12" i="14"/>
  <c r="K14" i="14"/>
  <c r="K6" i="14"/>
  <c r="N8" i="12"/>
  <c r="K8" i="14"/>
  <c r="K9" i="14"/>
  <c r="F24" i="12"/>
  <c r="F38" i="7"/>
  <c r="F42" i="7" s="1"/>
  <c r="F44" i="7" s="1"/>
  <c r="F23" i="12" s="1"/>
  <c r="F25" i="12" s="1"/>
  <c r="F34" i="7"/>
  <c r="F16" i="12" s="1"/>
  <c r="O16" i="12" s="1"/>
  <c r="P5" i="14" a="1"/>
  <c r="O15" i="12"/>
  <c r="K7" i="14"/>
  <c r="C42" i="7"/>
  <c r="C44" i="7" s="1"/>
  <c r="C23" i="12" s="1"/>
  <c r="H42" i="7"/>
  <c r="H44" i="7" s="1"/>
  <c r="H23" i="12" s="1"/>
  <c r="H25" i="12" s="1"/>
  <c r="J39" i="7"/>
  <c r="J42" i="7"/>
  <c r="J44" i="7" s="1"/>
  <c r="J23" i="12" s="1"/>
  <c r="J25" i="12" s="1"/>
  <c r="I39" i="7"/>
  <c r="I42" i="7"/>
  <c r="I44" i="7" s="1"/>
  <c r="I23" i="12" s="1"/>
  <c r="I25" i="12" s="1"/>
  <c r="D39" i="7"/>
  <c r="D42" i="7"/>
  <c r="D44" i="7" s="1"/>
  <c r="D23" i="12" s="1"/>
  <c r="E39" i="7"/>
  <c r="E42" i="7"/>
  <c r="E44" i="7" s="1"/>
  <c r="E23" i="12" s="1"/>
  <c r="E25" i="12" s="1"/>
  <c r="K39" i="7"/>
  <c r="K42" i="7"/>
  <c r="K44" i="7" s="1"/>
  <c r="K23" i="12" s="1"/>
  <c r="K25" i="12" s="1"/>
  <c r="L42" i="7" l="1"/>
  <c r="L44" i="7" s="1"/>
  <c r="L23" i="12" s="1"/>
  <c r="L25" i="12" s="1"/>
  <c r="M39" i="7"/>
  <c r="D25" i="12"/>
  <c r="G39" i="7"/>
  <c r="G42" i="7"/>
  <c r="G44" i="7" s="1"/>
  <c r="G23" i="12" s="1"/>
  <c r="G25" i="12" s="1"/>
  <c r="P5" i="14"/>
  <c r="P13" i="14"/>
  <c r="P12" i="14"/>
  <c r="P11" i="14"/>
  <c r="P10" i="14"/>
  <c r="P9" i="14"/>
  <c r="P8" i="14"/>
  <c r="P7" i="14"/>
  <c r="P6" i="14"/>
  <c r="P14" i="14"/>
  <c r="N16" i="12"/>
  <c r="F39" i="7"/>
  <c r="H39" i="7"/>
  <c r="O24" i="12"/>
  <c r="N24" i="12"/>
  <c r="C25" i="12"/>
  <c r="N25" i="12" s="1"/>
  <c r="N23" i="12"/>
  <c r="J16" i="14"/>
  <c r="K16" i="14" s="1"/>
  <c r="Q9" i="14" l="1"/>
  <c r="Q11" i="14"/>
  <c r="J17" i="14"/>
  <c r="K17" i="14" s="1"/>
  <c r="Q10" i="14"/>
  <c r="Q12" i="14"/>
  <c r="Q13" i="14"/>
  <c r="P15" i="14"/>
  <c r="Q15" i="14" s="1"/>
  <c r="Q6" i="14"/>
  <c r="Q7" i="14"/>
  <c r="O23" i="12"/>
  <c r="Q14" i="14"/>
  <c r="Q8" i="14"/>
  <c r="O25" i="12"/>
  <c r="J18" i="14" l="1"/>
  <c r="K18" i="14" s="1"/>
  <c r="P16" i="14"/>
  <c r="Q16" i="14" s="1"/>
  <c r="P17" i="14" l="1"/>
  <c r="Q17" i="14" s="1"/>
  <c r="P18" i="14" l="1"/>
  <c r="Q18" i="14" s="1"/>
</calcChain>
</file>

<file path=xl/sharedStrings.xml><?xml version="1.0" encoding="utf-8"?>
<sst xmlns="http://schemas.openxmlformats.org/spreadsheetml/2006/main" count="437" uniqueCount="307">
  <si>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</si>
  <si>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</si>
  <si>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</si>
  <si>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</si>
  <si>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</si>
  <si>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</si>
  <si>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</si>
  <si>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</si>
  <si>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</si>
  <si>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</si>
  <si>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</si>
  <si>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</si>
  <si>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</si>
  <si>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</si>
  <si>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</si>
  <si>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</si>
  <si>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</si>
  <si>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</si>
  <si>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</si>
  <si>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</si>
  <si>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</si>
  <si>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</si>
  <si>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</si>
  <si>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</si>
  <si>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</si>
  <si>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</si>
  <si>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</si>
  <si>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</si>
  <si>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</si>
  <si>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</si>
  <si>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</si>
  <si>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</si>
  <si>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RELIANCE INDUSTRIES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</si>
  <si>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</si>
  <si>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</si>
  <si>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</si>
  <si>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</si>
  <si>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</si>
  <si>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</si>
  <si>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</si>
  <si>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</si>
  <si>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</si>
  <si>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</si>
  <si>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</si>
  <si>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</si>
  <si>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</si>
  <si>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</si>
  <si>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</si>
  <si>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</si>
  <si>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</si>
  <si>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</si>
  <si>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</si>
  <si>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</si>
  <si>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</si>
  <si>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RELIANCE INDUSTRY LTD</t>
  </si>
  <si>
    <t>Years</t>
  </si>
  <si>
    <t>LTM</t>
  </si>
  <si>
    <t>#</t>
  </si>
  <si>
    <t>Income Statement</t>
  </si>
  <si>
    <t>Sales Growth</t>
  </si>
  <si>
    <t>-</t>
  </si>
  <si>
    <t>COGS</t>
  </si>
  <si>
    <t>COGS % Sales</t>
  </si>
  <si>
    <t>Gross Profit</t>
  </si>
  <si>
    <t>Selling &amp; General Expenses</t>
  </si>
  <si>
    <t>S&amp;G % Sales</t>
  </si>
  <si>
    <t>EBITDA</t>
  </si>
  <si>
    <t>EBITDA Margins</t>
  </si>
  <si>
    <t>Interest % of Sales</t>
  </si>
  <si>
    <t>Depreiation % Sales</t>
  </si>
  <si>
    <t>Earnings Before Tax</t>
  </si>
  <si>
    <t>EBT % Sales</t>
  </si>
  <si>
    <t>Effective Tax Rate</t>
  </si>
  <si>
    <t>Net Profit</t>
  </si>
  <si>
    <t>Net Margins</t>
  </si>
  <si>
    <t>No. Of Equity Shares</t>
  </si>
  <si>
    <t>Earnings Per Share</t>
  </si>
  <si>
    <t>Dividend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</si>
  <si>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</si>
  <si>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</si>
  <si>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</si>
  <si>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</si>
  <si>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</si>
  <si>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</si>
  <si>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Assets</t>
  </si>
  <si>
    <t>Total Non Current Assets</t>
  </si>
  <si>
    <t>Total Current Assets</t>
  </si>
  <si>
    <t>Check</t>
  </si>
  <si>
    <t>Cash from Operating Activity -</t>
  </si>
  <si>
    <t>Profit from operations</t>
  </si>
  <si>
    <t>Payables</t>
  </si>
  <si>
    <t>Working capital changes</t>
  </si>
  <si>
    <t>Direct taxes</t>
  </si>
  <si>
    <t>Other operating items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</si>
  <si>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</si>
  <si>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</si>
  <si>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</si>
  <si>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</si>
  <si>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</si>
  <si>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</si>
  <si>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</si>
  <si>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Other investing items</t>
  </si>
  <si>
    <t>Cash from Financing Activity 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</si>
  <si>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</si>
  <si>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</si>
  <si>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</si>
  <si>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</si>
  <si>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</si>
  <si>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</si>
  <si>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Share application money</t>
  </si>
  <si>
    <t>Other financing items</t>
  </si>
  <si>
    <t>Cash Flow</t>
  </si>
  <si>
    <t>Operating Activities</t>
  </si>
  <si>
    <t>Investing Activities</t>
  </si>
  <si>
    <t>Financing Activities</t>
  </si>
  <si>
    <t>Cash From Financing Activities</t>
  </si>
  <si>
    <t>Cash From Investing Activities</t>
  </si>
  <si>
    <t>Gross Margins</t>
  </si>
  <si>
    <t>EBITDA Growth</t>
  </si>
  <si>
    <t>EBIT Growth</t>
  </si>
  <si>
    <t>Net Profit Growth</t>
  </si>
  <si>
    <t>Dividend Growth</t>
  </si>
  <si>
    <t>Gross Margin</t>
  </si>
  <si>
    <t>Operating Margin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</si>
  <si>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</si>
  <si>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</si>
  <si>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</si>
  <si>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</si>
  <si>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</si>
  <si>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</si>
  <si>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</si>
  <si>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</si>
  <si>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</si>
  <si>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</si>
  <si>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</si>
  <si>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</si>
  <si>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</si>
  <si>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</si>
  <si>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Fixed Asset Turnover</t>
  </si>
  <si>
    <t>Inventory Turnover</t>
  </si>
  <si>
    <t>Capital Turnover Ratio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</si>
  <si>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</si>
  <si>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</si>
  <si>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</si>
  <si>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</si>
  <si>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</si>
  <si>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</si>
  <si>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Debts</t>
  </si>
  <si>
    <t>Mean</t>
  </si>
  <si>
    <t>Median</t>
  </si>
  <si>
    <t>Trend</t>
  </si>
  <si>
    <t>Year Weight</t>
  </si>
  <si>
    <t>Year</t>
  </si>
  <si>
    <t>Cash From Operating Activities not incl. WC</t>
  </si>
  <si>
    <t>Cash From Operating Activities incl. WC</t>
  </si>
  <si>
    <t>Date</t>
  </si>
  <si>
    <t>Closing Price</t>
  </si>
  <si>
    <t>Weekly Return</t>
  </si>
  <si>
    <t>Equity Capital</t>
  </si>
  <si>
    <t>Long term Borrowings</t>
  </si>
  <si>
    <t>Short term Borrowings</t>
  </si>
  <si>
    <t>Lease Liabilities</t>
  </si>
  <si>
    <t>Other Borrowings</t>
  </si>
  <si>
    <t>Non controlling int</t>
  </si>
  <si>
    <t>Trade Payables</t>
  </si>
  <si>
    <t>Other liability items</t>
  </si>
  <si>
    <t>Borrowings -</t>
  </si>
  <si>
    <t>Other Liabilities -</t>
  </si>
  <si>
    <t>Fixed Assets -</t>
  </si>
  <si>
    <t>Land</t>
  </si>
  <si>
    <t>Building</t>
  </si>
  <si>
    <t>Plant Machinery</t>
  </si>
  <si>
    <t>Ships Vessels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</si>
  <si>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</si>
  <si>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</si>
  <si>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</si>
  <si>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</si>
  <si>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</si>
  <si>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</si>
  <si>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</si>
  <si>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</si>
  <si>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</si>
  <si>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</si>
  <si>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</t>
  </si>
  <si>
    <t>Cash Equivalents</t>
  </si>
  <si>
    <t>Short term loans</t>
  </si>
  <si>
    <t>Other asset items</t>
  </si>
  <si>
    <t>Particulars</t>
  </si>
  <si>
    <t>Calculation of ROIC</t>
  </si>
  <si>
    <t>Current Assets</t>
  </si>
  <si>
    <t>Current Liabilities</t>
  </si>
  <si>
    <t>Total Current Liabilities</t>
  </si>
  <si>
    <t>Net Working Capital</t>
  </si>
  <si>
    <t>Non Current Assets</t>
  </si>
  <si>
    <t xml:space="preserve">Gross Block </t>
  </si>
  <si>
    <t>Net Non Current Assets</t>
  </si>
  <si>
    <t>Invested Capital</t>
  </si>
  <si>
    <t>EBIT</t>
  </si>
  <si>
    <t>ROIC</t>
  </si>
  <si>
    <t>Calculation of Reinvestment Rate</t>
  </si>
  <si>
    <t>Net CAPEX</t>
  </si>
  <si>
    <t>Change in Working Capital</t>
  </si>
  <si>
    <t>Marginal Tax Rate</t>
  </si>
  <si>
    <t>Reinvestment</t>
  </si>
  <si>
    <t>EBIT(1-T)</t>
  </si>
  <si>
    <t>Reinvestment Rate</t>
  </si>
  <si>
    <t>4 Year Average</t>
  </si>
  <si>
    <t>4 Year Median</t>
  </si>
  <si>
    <t>Calculation of Growth Rate</t>
  </si>
  <si>
    <t>Intrinsic Growth</t>
  </si>
  <si>
    <t>4. Levered Beta = Unlevered Beta*(1+(1-Tax Rate)*Debt/Equity)</t>
  </si>
  <si>
    <t>3. Unlevered Beta = Levered Beta/(1+(1-Tax Rate)*Debt/Equity)</t>
  </si>
  <si>
    <t>2. Levered Beta is based on 5 year monthly data</t>
  </si>
  <si>
    <t>1. Tax Rate considered as Marginal Tax Rate for the country</t>
  </si>
  <si>
    <t>Notes:</t>
  </si>
  <si>
    <t>WACC</t>
  </si>
  <si>
    <t>Debt Weight</t>
  </si>
  <si>
    <t>Cost of Debt</t>
  </si>
  <si>
    <t>Equity Weight</t>
  </si>
  <si>
    <t>Cost of Equity</t>
  </si>
  <si>
    <t>Weighted Average Cost of Capital</t>
  </si>
  <si>
    <t>Debt/Equity</t>
  </si>
  <si>
    <t>Levered Beta</t>
  </si>
  <si>
    <t>Total Capital</t>
  </si>
  <si>
    <t>Tax Rate</t>
  </si>
  <si>
    <t>Target Debt/Equity</t>
  </si>
  <si>
    <t>Total Debt</t>
  </si>
  <si>
    <t>Comps Median Unlevered beta</t>
  </si>
  <si>
    <t>Target</t>
  </si>
  <si>
    <t>Current</t>
  </si>
  <si>
    <t>Capital Structure</t>
  </si>
  <si>
    <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</si>
  <si>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Post Tax Cost of Debt</t>
  </si>
  <si>
    <t>Equity Risk Premium</t>
  </si>
  <si>
    <t>Risk Free Rate</t>
  </si>
  <si>
    <t>Pre-tax Cost of Debt</t>
  </si>
  <si>
    <t>Average</t>
  </si>
  <si>
    <t>India</t>
  </si>
  <si>
    <t>Metro Brands</t>
  </si>
  <si>
    <t>Aditya Bir. Fas.</t>
  </si>
  <si>
    <t>Vedant Fashions</t>
  </si>
  <si>
    <t>Trent</t>
  </si>
  <si>
    <t>Avenue Super.</t>
  </si>
  <si>
    <r>
      <t xml:space="preserve">Beta </t>
    </r>
    <r>
      <rPr>
        <vertAlign val="superscript"/>
        <sz val="11"/>
        <color theme="1"/>
        <rFont val="Calibri"/>
        <family val="2"/>
      </rPr>
      <t>3</t>
    </r>
  </si>
  <si>
    <r>
      <t xml:space="preserve">Beta </t>
    </r>
    <r>
      <rPr>
        <vertAlign val="superscript"/>
        <sz val="11"/>
        <color theme="1"/>
        <rFont val="Calibri"/>
        <family val="2"/>
      </rPr>
      <t>2</t>
    </r>
  </si>
  <si>
    <t>Capital</t>
  </si>
  <si>
    <t>Equity</t>
  </si>
  <si>
    <r>
      <t xml:space="preserve">Tax Rate </t>
    </r>
    <r>
      <rPr>
        <vertAlign val="superscript"/>
        <sz val="11"/>
        <color theme="1"/>
        <rFont val="Calibri"/>
        <family val="2"/>
      </rPr>
      <t>1</t>
    </r>
  </si>
  <si>
    <t>Total Equity</t>
  </si>
  <si>
    <t>Country</t>
  </si>
  <si>
    <t>Name of Comp</t>
  </si>
  <si>
    <t>Unlevered</t>
  </si>
  <si>
    <t>Levered</t>
  </si>
  <si>
    <t>Debt/</t>
  </si>
  <si>
    <t>Peer Comps</t>
  </si>
  <si>
    <t>All figures are in INR unless stated otherwise</t>
  </si>
  <si>
    <t>WAAC MODELING</t>
  </si>
  <si>
    <t>ASHISH KUMAR MAHARNA</t>
  </si>
  <si>
    <t>X Variable 1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</si>
  <si>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</si>
  <si>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</si>
  <si>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</si>
  <si>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</si>
  <si>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</si>
  <si>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</si>
  <si>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</si>
  <si>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</si>
  <si>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</si>
  <si>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</si>
  <si>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</si>
  <si>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</si>
  <si>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</si>
  <si>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</si>
  <si>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</si>
  <si>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</si>
  <si>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</si>
  <si>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</si>
  <si>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</si>
  <si>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</si>
  <si>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</si>
  <si>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Adjusted Beta</t>
  </si>
  <si>
    <t>Regression Statistics</t>
  </si>
  <si>
    <t>Market Beta Weight</t>
  </si>
  <si>
    <t>SUMMARY OUTPUT</t>
  </si>
  <si>
    <t>Market Beta</t>
  </si>
  <si>
    <t>Beta 3</t>
  </si>
  <si>
    <t>Beta Weight</t>
  </si>
  <si>
    <t>Levered Raw Beta</t>
  </si>
  <si>
    <t>Beta 2</t>
  </si>
  <si>
    <t>Beta 1</t>
  </si>
  <si>
    <t>Beta Drifting</t>
  </si>
  <si>
    <t>Nifty Returns</t>
  </si>
  <si>
    <t>Avenue Supermart Weekly Returns</t>
  </si>
  <si>
    <t>Regression Beta - 2 Years Weekly</t>
  </si>
  <si>
    <t>Total Market Returns</t>
  </si>
  <si>
    <r>
      <t xml:space="preserve">1.39% </t>
    </r>
    <r>
      <rPr>
        <vertAlign val="superscript"/>
        <sz val="11"/>
        <color theme="1"/>
        <rFont val="Calibri"/>
        <family val="2"/>
        <scheme val="minor"/>
      </rPr>
      <t>1</t>
    </r>
  </si>
  <si>
    <t>Dividend Yield</t>
  </si>
  <si>
    <t>Annual</t>
  </si>
  <si>
    <t>Return On Markets</t>
  </si>
  <si>
    <t>Calculation of PV of FCFF</t>
  </si>
  <si>
    <t>Less: Reinvestment Rate</t>
  </si>
  <si>
    <t>Free Cash Flow to Firm (FCFF)</t>
  </si>
  <si>
    <t>Mid Year Convention</t>
  </si>
  <si>
    <t>Discounting Factor</t>
  </si>
  <si>
    <t>PV of FCFF</t>
  </si>
  <si>
    <t>Expected Growth</t>
  </si>
  <si>
    <t>Terminal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</si>
</sst>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\(&quot;₹&quot;\ #,##0.0\);\ \-"/>
    <numFmt numFmtId="167" formatCode="0.00&quot;x&quot;"/>
    <numFmt numFmtId="168" formatCode="#,##0.0"/>
    <numFmt numFmtId="169" formatCode="yyyy&quot;A&quot;"/>
    <numFmt numFmtId="170" formatCode="yyyy&quot;E&quot;"/>
    <numFmt numFmtId="171" formatCode="mmm/yy&quot;A&quot;"/>
    <numFmt numFmtId="172" formatCode="mmm/yy&quot;E&quot;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i/>
      <sz val="9"/>
      <color theme="1"/>
      <name val="Calibri"/>
      <family val="2"/>
    </font>
    <font>
      <b/>
      <i/>
      <sz val="10"/>
      <color theme="1"/>
      <name val="Calibri"/>
      <family val="2"/>
    </font>
    <font>
      <sz val="11"/>
      <color rgb="FF3333FF"/>
      <name val="Calibri"/>
      <family val="2"/>
    </font>
    <font>
      <vertAlign val="superscript"/>
      <sz val="11"/>
      <color theme="1"/>
      <name val="Calibri"/>
      <family val="2"/>
    </font>
    <font>
      <i/>
      <sz val="10"/>
      <color theme="1"/>
      <name val="Calibri"/>
      <family val="2"/>
    </font>
    <font>
      <b/>
      <sz val="14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rgb="FF92D050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theme="9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7" tint="-0.499984740745262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8">
    <xf numFmtId="0" fontId="0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9" fontId="1" fillId="0" borderId="0" applyFont="0" applyFill="0" applyBorder="0" applyAlignment="0" applyProtection="0"/>
  </cellStyleXfs>
  <cellXfs count="156">
    <xf numFmtId="0" fontId="0" fillId="0" borderId="0" xfId="0"/>
    <xf numFmtId="43" fontId="2" fillId="0" borderId="0" xfId="1" applyFont="1" applyBorder="1"/>
    <xf numFmtId="43" fontId="0" fillId="0" borderId="0" xfId="1" applyFont="1" applyBorder="1"/>
    <xf numFmtId="43" fontId="4" fillId="0" borderId="0" xfId="1" applyFont="1" applyBorder="1"/>
    <xf numFmtId="165" fontId="3" fillId="3" borderId="0" xfId="0" applyNumberFormat="1" applyFont="1" applyFill="1" applyBorder="1" applyAlignment="1">
      <alignment horizontal="center"/>
    </xf>
    <xf numFmtId="165" fontId="3" fillId="3" borderId="0" xfId="1" applyNumberFormat="1" applyFont="1" applyFill="1" applyBorder="1"/>
    <xf numFmtId="165" fontId="7" fillId="0" borderId="0" xfId="1" applyNumberFormat="1" applyFont="1" applyFill="1" applyBorder="1"/>
    <xf numFmtId="164" fontId="0" fillId="0" borderId="0" xfId="1" applyNumberFormat="1" applyFont="1" applyBorder="1"/>
    <xf numFmtId="0" fontId="3" fillId="4" borderId="0" xfId="0" applyFont="1" applyFill="1"/>
    <xf numFmtId="17" fontId="3" fillId="4" borderId="0" xfId="0" applyNumberFormat="1" applyFont="1" applyFill="1"/>
    <xf numFmtId="17" fontId="3" fillId="4" borderId="0" xfId="0" applyNumberFormat="1" applyFont="1" applyFill="1" applyAlignment="1">
      <alignment horizontal="right"/>
    </xf>
    <xf numFmtId="0" fontId="2" fillId="0" borderId="0" xfId="0" applyFont="1"/>
    <xf numFmtId="166" fontId="0" fillId="0" borderId="0" xfId="0" applyNumberFormat="1"/>
    <xf numFmtId="0" fontId="8" fillId="0" borderId="0" xfId="0" applyFont="1"/>
    <xf numFmtId="0" fontId="8" fillId="0" borderId="0" xfId="0" applyFont="1" applyAlignment="1">
      <alignment horizontal="right"/>
    </xf>
    <xf numFmtId="10" fontId="8" fillId="0" borderId="0" xfId="4" applyNumberFormat="1" applyFont="1"/>
    <xf numFmtId="43" fontId="0" fillId="0" borderId="0" xfId="1" applyNumberFormat="1" applyFont="1" applyBorder="1"/>
    <xf numFmtId="0" fontId="3" fillId="0" borderId="0" xfId="0" applyFont="1" applyFill="1"/>
    <xf numFmtId="17" fontId="3" fillId="0" borderId="0" xfId="0" applyNumberFormat="1" applyFont="1" applyFill="1"/>
    <xf numFmtId="17" fontId="3" fillId="0" borderId="0" xfId="0" applyNumberFormat="1" applyFont="1" applyFill="1" applyAlignment="1">
      <alignment horizontal="right"/>
    </xf>
    <xf numFmtId="9" fontId="0" fillId="0" borderId="0" xfId="4" applyFont="1"/>
    <xf numFmtId="166" fontId="2" fillId="0" borderId="0" xfId="0" applyNumberFormat="1" applyFont="1"/>
    <xf numFmtId="0" fontId="9" fillId="5" borderId="0" xfId="0" applyFont="1" applyFill="1"/>
    <xf numFmtId="0" fontId="9" fillId="0" borderId="0" xfId="0" applyFont="1" applyFill="1"/>
    <xf numFmtId="17" fontId="0" fillId="0" borderId="0" xfId="0" applyNumberFormat="1"/>
    <xf numFmtId="3" fontId="0" fillId="0" borderId="0" xfId="0" applyNumberFormat="1"/>
    <xf numFmtId="0" fontId="2" fillId="6" borderId="0" xfId="0" applyFont="1" applyFill="1"/>
    <xf numFmtId="0" fontId="0" fillId="6" borderId="0" xfId="0" applyFill="1"/>
    <xf numFmtId="0" fontId="2" fillId="0" borderId="1" xfId="0" applyFont="1" applyBorder="1"/>
    <xf numFmtId="166" fontId="2" fillId="0" borderId="1" xfId="0" applyNumberFormat="1" applyFont="1" applyBorder="1"/>
    <xf numFmtId="43" fontId="2" fillId="0" borderId="1" xfId="1" applyFont="1" applyBorder="1"/>
    <xf numFmtId="43" fontId="2" fillId="0" borderId="1" xfId="1" applyFont="1" applyFill="1" applyBorder="1"/>
    <xf numFmtId="10" fontId="0" fillId="0" borderId="0" xfId="0" applyNumberFormat="1"/>
    <xf numFmtId="167" fontId="0" fillId="0" borderId="0" xfId="0" applyNumberFormat="1"/>
    <xf numFmtId="1" fontId="0" fillId="0" borderId="0" xfId="0" applyNumberFormat="1"/>
    <xf numFmtId="0" fontId="0" fillId="0" borderId="2" xfId="0" applyBorder="1"/>
    <xf numFmtId="10" fontId="0" fillId="0" borderId="2" xfId="0" applyNumberFormat="1" applyBorder="1"/>
    <xf numFmtId="167" fontId="0" fillId="0" borderId="2" xfId="0" applyNumberFormat="1" applyBorder="1"/>
    <xf numFmtId="0" fontId="0" fillId="0" borderId="4" xfId="0" applyBorder="1"/>
    <xf numFmtId="0" fontId="3" fillId="4" borderId="3" xfId="0" applyFont="1" applyFill="1" applyBorder="1"/>
    <xf numFmtId="17" fontId="3" fillId="4" borderId="3" xfId="0" applyNumberFormat="1" applyFont="1" applyFill="1" applyBorder="1"/>
    <xf numFmtId="0" fontId="0" fillId="0" borderId="3" xfId="0" applyBorder="1"/>
    <xf numFmtId="0" fontId="0" fillId="0" borderId="0" xfId="0" applyBorder="1"/>
    <xf numFmtId="10" fontId="0" fillId="0" borderId="5" xfId="0" applyNumberFormat="1" applyBorder="1"/>
    <xf numFmtId="0" fontId="0" fillId="0" borderId="5" xfId="0" applyBorder="1"/>
    <xf numFmtId="10" fontId="0" fillId="0" borderId="0" xfId="0" applyNumberFormat="1" applyBorder="1"/>
    <xf numFmtId="10" fontId="0" fillId="0" borderId="4" xfId="0" applyNumberFormat="1" applyBorder="1"/>
    <xf numFmtId="167" fontId="0" fillId="0" borderId="4" xfId="0" applyNumberFormat="1" applyBorder="1"/>
    <xf numFmtId="167" fontId="0" fillId="0" borderId="5" xfId="0" applyNumberFormat="1" applyBorder="1"/>
    <xf numFmtId="167" fontId="0" fillId="0" borderId="0" xfId="0" applyNumberFormat="1" applyBorder="1"/>
    <xf numFmtId="1" fontId="0" fillId="0" borderId="5" xfId="0" applyNumberFormat="1" applyBorder="1"/>
    <xf numFmtId="1" fontId="0" fillId="0" borderId="0" xfId="0" applyNumberFormat="1" applyBorder="1"/>
    <xf numFmtId="1" fontId="0" fillId="0" borderId="4" xfId="0" applyNumberFormat="1" applyBorder="1"/>
    <xf numFmtId="17" fontId="3" fillId="4" borderId="3" xfId="0" applyNumberFormat="1" applyFont="1" applyFill="1" applyBorder="1" applyAlignment="1">
      <alignment horizontal="center"/>
    </xf>
    <xf numFmtId="0" fontId="3" fillId="7" borderId="0" xfId="0" applyFont="1" applyFill="1"/>
    <xf numFmtId="0" fontId="0" fillId="0" borderId="0" xfId="0" applyAlignment="1">
      <alignment horizontal="left"/>
    </xf>
    <xf numFmtId="169" fontId="0" fillId="0" borderId="0" xfId="0" applyNumberFormat="1" applyAlignment="1">
      <alignment horizontal="right"/>
    </xf>
    <xf numFmtId="168" fontId="0" fillId="0" borderId="0" xfId="0" applyNumberFormat="1"/>
    <xf numFmtId="0" fontId="0" fillId="8" borderId="0" xfId="0" applyFill="1" applyAlignment="1">
      <alignment horizontal="left"/>
    </xf>
    <xf numFmtId="170" fontId="0" fillId="8" borderId="0" xfId="0" applyNumberFormat="1" applyFill="1" applyAlignment="1">
      <alignment horizontal="right"/>
    </xf>
    <xf numFmtId="168" fontId="0" fillId="8" borderId="0" xfId="0" applyNumberFormat="1" applyFill="1"/>
    <xf numFmtId="10" fontId="0" fillId="8" borderId="0" xfId="0" applyNumberFormat="1" applyFill="1"/>
    <xf numFmtId="15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0" fillId="7" borderId="0" xfId="0" applyFill="1"/>
    <xf numFmtId="17" fontId="3" fillId="7" borderId="0" xfId="0" applyNumberFormat="1" applyFont="1" applyFill="1"/>
    <xf numFmtId="3" fontId="2" fillId="0" borderId="0" xfId="0" applyNumberFormat="1" applyFont="1"/>
    <xf numFmtId="0" fontId="2" fillId="0" borderId="3" xfId="0" applyNumberFormat="1" applyFont="1" applyBorder="1"/>
    <xf numFmtId="0" fontId="0" fillId="0" borderId="3" xfId="0" applyNumberFormat="1" applyBorder="1"/>
    <xf numFmtId="3" fontId="0" fillId="0" borderId="2" xfId="0" applyNumberFormat="1" applyBorder="1"/>
    <xf numFmtId="0" fontId="0" fillId="7" borderId="6" xfId="0" applyFill="1" applyBorder="1"/>
    <xf numFmtId="0" fontId="0" fillId="0" borderId="7" xfId="0" applyBorder="1"/>
    <xf numFmtId="0" fontId="3" fillId="9" borderId="0" xfId="0" applyFont="1" applyFill="1"/>
    <xf numFmtId="0" fontId="2" fillId="9" borderId="0" xfId="0" applyFont="1" applyFill="1"/>
    <xf numFmtId="0" fontId="2" fillId="0" borderId="7" xfId="0" applyFont="1" applyBorder="1"/>
    <xf numFmtId="0" fontId="0" fillId="0" borderId="8" xfId="0" applyBorder="1"/>
    <xf numFmtId="0" fontId="0" fillId="0" borderId="0" xfId="0" applyFont="1"/>
    <xf numFmtId="0" fontId="2" fillId="0" borderId="8" xfId="0" applyFont="1" applyBorder="1"/>
    <xf numFmtId="3" fontId="2" fillId="0" borderId="7" xfId="0" applyNumberFormat="1" applyFont="1" applyBorder="1"/>
    <xf numFmtId="3" fontId="0" fillId="0" borderId="4" xfId="0" applyNumberFormat="1" applyBorder="1"/>
    <xf numFmtId="3" fontId="0" fillId="0" borderId="0" xfId="0" applyNumberFormat="1" applyBorder="1"/>
    <xf numFmtId="3" fontId="0" fillId="0" borderId="5" xfId="0" applyNumberFormat="1" applyBorder="1"/>
    <xf numFmtId="3" fontId="2" fillId="0" borderId="8" xfId="0" applyNumberFormat="1" applyFont="1" applyBorder="1"/>
    <xf numFmtId="0" fontId="0" fillId="7" borderId="3" xfId="0" applyFill="1" applyBorder="1"/>
    <xf numFmtId="3" fontId="0" fillId="0" borderId="9" xfId="0" applyNumberFormat="1" applyBorder="1"/>
    <xf numFmtId="0" fontId="2" fillId="0" borderId="3" xfId="0" applyFont="1" applyBorder="1"/>
    <xf numFmtId="3" fontId="0" fillId="0" borderId="10" xfId="0" applyNumberFormat="1" applyBorder="1"/>
    <xf numFmtId="10" fontId="0" fillId="0" borderId="8" xfId="0" applyNumberFormat="1" applyBorder="1"/>
    <xf numFmtId="10" fontId="13" fillId="0" borderId="0" xfId="0" applyNumberFormat="1" applyFont="1"/>
    <xf numFmtId="2" fontId="7" fillId="0" borderId="0" xfId="0" applyNumberFormat="1" applyFont="1"/>
    <xf numFmtId="10" fontId="2" fillId="0" borderId="0" xfId="0" applyNumberFormat="1" applyFont="1"/>
    <xf numFmtId="10" fontId="2" fillId="8" borderId="0" xfId="0" applyNumberFormat="1" applyFont="1" applyFill="1"/>
    <xf numFmtId="10" fontId="2" fillId="0" borderId="8" xfId="0" applyNumberFormat="1" applyFont="1" applyBorder="1"/>
    <xf numFmtId="0" fontId="2" fillId="8" borderId="0" xfId="0" applyFont="1" applyFill="1"/>
    <xf numFmtId="0" fontId="1" fillId="0" borderId="0" xfId="5"/>
    <xf numFmtId="0" fontId="14" fillId="0" borderId="0" xfId="5" applyFont="1" applyAlignment="1">
      <alignment vertical="top"/>
    </xf>
    <xf numFmtId="0" fontId="15" fillId="0" borderId="0" xfId="5" applyFont="1"/>
    <xf numFmtId="10" fontId="1" fillId="0" borderId="0" xfId="5" applyNumberFormat="1"/>
    <xf numFmtId="0" fontId="11" fillId="0" borderId="0" xfId="5" applyFont="1"/>
    <xf numFmtId="0" fontId="4" fillId="0" borderId="0" xfId="6"/>
    <xf numFmtId="10" fontId="4" fillId="0" borderId="0" xfId="6" applyNumberFormat="1"/>
    <xf numFmtId="0" fontId="1" fillId="0" borderId="3" xfId="5" applyBorder="1"/>
    <xf numFmtId="0" fontId="11" fillId="0" borderId="3" xfId="5" applyFont="1" applyBorder="1"/>
    <xf numFmtId="10" fontId="1" fillId="8" borderId="0" xfId="5" applyNumberFormat="1" applyFill="1"/>
    <xf numFmtId="2" fontId="1" fillId="8" borderId="0" xfId="5" applyNumberFormat="1" applyFill="1"/>
    <xf numFmtId="10" fontId="1" fillId="0" borderId="5" xfId="5" applyNumberFormat="1" applyBorder="1"/>
    <xf numFmtId="2" fontId="1" fillId="0" borderId="5" xfId="5" applyNumberFormat="1" applyBorder="1"/>
    <xf numFmtId="0" fontId="1" fillId="0" borderId="5" xfId="5" applyBorder="1"/>
    <xf numFmtId="9" fontId="1" fillId="0" borderId="4" xfId="5" applyNumberFormat="1" applyBorder="1"/>
    <xf numFmtId="0" fontId="1" fillId="0" borderId="4" xfId="5" applyBorder="1"/>
    <xf numFmtId="2" fontId="16" fillId="0" borderId="0" xfId="5" applyNumberFormat="1" applyFont="1"/>
    <xf numFmtId="10" fontId="16" fillId="0" borderId="0" xfId="5" applyNumberFormat="1" applyFont="1"/>
    <xf numFmtId="10" fontId="1" fillId="8" borderId="5" xfId="5" applyNumberFormat="1" applyFill="1" applyBorder="1"/>
    <xf numFmtId="0" fontId="11" fillId="0" borderId="5" xfId="5" applyFont="1" applyBorder="1"/>
    <xf numFmtId="2" fontId="1" fillId="0" borderId="0" xfId="5" applyNumberFormat="1"/>
    <xf numFmtId="10" fontId="0" fillId="0" borderId="3" xfId="7" applyNumberFormat="1" applyFont="1" applyBorder="1"/>
    <xf numFmtId="2" fontId="1" fillId="0" borderId="3" xfId="5" applyNumberFormat="1" applyBorder="1"/>
    <xf numFmtId="10" fontId="1" fillId="0" borderId="3" xfId="5" applyNumberFormat="1" applyBorder="1"/>
    <xf numFmtId="10" fontId="0" fillId="0" borderId="7" xfId="7" applyNumberFormat="1" applyFont="1" applyBorder="1"/>
    <xf numFmtId="2" fontId="1" fillId="0" borderId="7" xfId="5" applyNumberFormat="1" applyBorder="1"/>
    <xf numFmtId="10" fontId="1" fillId="0" borderId="7" xfId="5" applyNumberFormat="1" applyBorder="1"/>
    <xf numFmtId="0" fontId="11" fillId="0" borderId="7" xfId="5" applyFont="1" applyBorder="1"/>
    <xf numFmtId="0" fontId="4" fillId="10" borderId="0" xfId="6" applyFill="1" applyAlignment="1">
      <alignment horizontal="right" wrapText="1"/>
    </xf>
    <xf numFmtId="0" fontId="13" fillId="0" borderId="0" xfId="6" applyFont="1" applyAlignment="1">
      <alignment horizontal="right" wrapText="1"/>
    </xf>
    <xf numFmtId="10" fontId="4" fillId="10" borderId="0" xfId="6" applyNumberFormat="1" applyFill="1" applyAlignment="1">
      <alignment horizontal="right" wrapText="1"/>
    </xf>
    <xf numFmtId="10" fontId="13" fillId="0" borderId="0" xfId="6" applyNumberFormat="1" applyFont="1" applyAlignment="1">
      <alignment horizontal="right" vertical="top" wrapText="1"/>
    </xf>
    <xf numFmtId="4" fontId="13" fillId="0" borderId="0" xfId="6" applyNumberFormat="1" applyFont="1" applyAlignment="1">
      <alignment horizontal="right" wrapText="1"/>
    </xf>
    <xf numFmtId="0" fontId="13" fillId="0" borderId="0" xfId="6" applyFont="1" applyAlignment="1">
      <alignment wrapText="1"/>
    </xf>
    <xf numFmtId="0" fontId="1" fillId="0" borderId="11" xfId="5" applyBorder="1"/>
    <xf numFmtId="0" fontId="1" fillId="0" borderId="12" xfId="5" applyBorder="1"/>
    <xf numFmtId="0" fontId="18" fillId="0" borderId="0" xfId="5" applyFont="1"/>
    <xf numFmtId="0" fontId="1" fillId="11" borderId="0" xfId="5" applyFill="1"/>
    <xf numFmtId="0" fontId="19" fillId="11" borderId="0" xfId="5" applyFont="1" applyFill="1"/>
    <xf numFmtId="0" fontId="1" fillId="7" borderId="0" xfId="5" applyFill="1"/>
    <xf numFmtId="0" fontId="1" fillId="7" borderId="13" xfId="5" applyFill="1" applyBorder="1"/>
    <xf numFmtId="0" fontId="10" fillId="7" borderId="13" xfId="5" applyFont="1" applyFill="1" applyBorder="1"/>
    <xf numFmtId="0" fontId="0" fillId="0" borderId="11" xfId="0" applyBorder="1"/>
    <xf numFmtId="0" fontId="12" fillId="0" borderId="14" xfId="0" applyFont="1" applyBorder="1" applyAlignment="1">
      <alignment horizontal="center"/>
    </xf>
    <xf numFmtId="2" fontId="0" fillId="8" borderId="0" xfId="0" applyNumberFormat="1" applyFill="1"/>
    <xf numFmtId="0" fontId="12" fillId="0" borderId="14" xfId="0" applyFont="1" applyBorder="1" applyAlignment="1">
      <alignment horizontal="centerContinuous"/>
    </xf>
    <xf numFmtId="10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2" fillId="0" borderId="15" xfId="0" applyFont="1" applyBorder="1"/>
    <xf numFmtId="0" fontId="2" fillId="0" borderId="15" xfId="0" applyFont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21" fillId="7" borderId="0" xfId="0" applyFont="1" applyFill="1"/>
    <xf numFmtId="171" fontId="21" fillId="7" borderId="0" xfId="0" applyNumberFormat="1" applyFont="1" applyFill="1"/>
    <xf numFmtId="172" fontId="21" fillId="7" borderId="0" xfId="0" applyNumberFormat="1" applyFont="1" applyFill="1"/>
    <xf numFmtId="43" fontId="0" fillId="0" borderId="0" xfId="0" applyNumberFormat="1"/>
    <xf numFmtId="0" fontId="3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43" fontId="5" fillId="0" borderId="0" xfId="2" applyNumberFormat="1" applyBorder="1" applyAlignment="1" applyProtection="1">
      <alignment horizontal="center"/>
    </xf>
    <xf numFmtId="43" fontId="3" fillId="2" borderId="0" xfId="3" applyNumberFormat="1" applyFont="1" applyBorder="1" applyAlignment="1">
      <alignment horizontal="center"/>
    </xf>
    <xf numFmtId="0" fontId="0" fillId="0" borderId="16" xfId="0" applyBorder="1"/>
  </cellXfs>
  <cellStyles count="8">
    <cellStyle name="Accent6" xfId="3" builtinId="49"/>
    <cellStyle name="Comma" xfId="1" builtinId="3"/>
    <cellStyle name="Hyperlink" xfId="2" builtinId="8"/>
    <cellStyle name="Normal" xfId="0" builtinId="0"/>
    <cellStyle name="Normal 2 2" xfId="5" xr:uid="{5EE2FF8D-8062-4A50-A7BF-103F7B829205}"/>
    <cellStyle name="Normal 3" xfId="6" xr:uid="{683D2B6B-1415-4C80-BBF1-2F789A01CF90}"/>
    <cellStyle name="Percent" xfId="4" builtinId="5"/>
    <cellStyle name="Percent 2 2" xfId="7" xr:uid="{48B53C1B-B549-4C03-9804-D20106D58348}"/>
  </cellStyles>
  <dxfs count="2">
    <dxf>
      <font>
        <b/>
        <i val="0"/>
        <color theme="0"/>
      </font>
      <fill>
        <patternFill>
          <bgColor theme="5"/>
        </patternFill>
      </fill>
    </dxf>
    <dxf>
      <font>
        <color rgb="FF9C0006"/>
      </font>
    </dxf>
  </dxfs>
  <tableStyles count="0" defaultTableStyle="TableStyleMedium9" defaultPivotStyle="PivotStyleLight16"/>
  <colors>
    <mruColors>
      <color rgb="FF3333FF"/>
      <color rgb="FF0000FF"/>
      <color rgb="FFCCFF99"/>
      <color rgb="FFCCFF33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ugh%20Modelling%20concep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liance%20Screener%20(Consolidat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ling 1"/>
      <sheetName val="Technicals"/>
      <sheetName val="Scenario Summary"/>
      <sheetName val="Common Size Statement"/>
      <sheetName val="Sales Growth"/>
      <sheetName val="DataSheet"/>
    </sheetNames>
    <sheetDataSet>
      <sheetData sheetId="0" refreshError="1"/>
      <sheetData sheetId="1">
        <row r="7">
          <cell r="C7">
            <v>0.04</v>
          </cell>
        </row>
        <row r="9">
          <cell r="C9">
            <v>0.1</v>
          </cell>
        </row>
        <row r="10">
          <cell r="C10">
            <v>6.0000000000000005E-2</v>
          </cell>
        </row>
        <row r="11">
          <cell r="C11">
            <v>1.25</v>
          </cell>
        </row>
        <row r="14">
          <cell r="C14">
            <v>0.14000000000000001</v>
          </cell>
        </row>
        <row r="15">
          <cell r="C15">
            <v>0.3</v>
          </cell>
        </row>
        <row r="18">
          <cell r="C18">
            <v>125000</v>
          </cell>
        </row>
        <row r="19">
          <cell r="C19">
            <v>125000</v>
          </cell>
        </row>
        <row r="29">
          <cell r="C29">
            <v>14500</v>
          </cell>
        </row>
        <row r="30">
          <cell r="C30">
            <v>0.1</v>
          </cell>
        </row>
        <row r="31">
          <cell r="C31">
            <v>0.8</v>
          </cell>
        </row>
        <row r="33">
          <cell r="C33">
            <v>15950.000000000002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_Statements&gt;"/>
      <sheetName val="Historical_FS"/>
      <sheetName val="Ratio Analysis"/>
      <sheetName val="Forecasting"/>
      <sheetName val="Data&gt;"/>
      <sheetName val="Data Sheet"/>
      <sheetName val="Cash Flow Data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RELIANCE INDUSTRY LTD</v>
          </cell>
        </row>
      </sheetData>
      <sheetData sheetId="6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EBC0-69D2-4A6F-9598-F9E54EA8CD37}">
  <sheetPr>
    <tabColor rgb="FF002060"/>
  </sheetPr>
  <dimension ref="A1"/>
  <sheetViews>
    <sheetView workbookViewId="0">
      <selection activeCell="K34" sqref="K3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D312-3AA7-4033-93C3-4A17778D2DB4}">
  <dimension ref="B1:R54"/>
  <sheetViews>
    <sheetView showGridLines="0" topLeftCell="E19" zoomScaleNormal="100" workbookViewId="0">
      <selection activeCell="H16" sqref="H16"/>
    </sheetView>
  </sheetViews>
  <sheetFormatPr defaultRowHeight="15" x14ac:dyDescent="0.25"/>
  <cols>
    <col min="1" max="1" width="1.85546875" style="94" customWidth="1"/>
    <col min="2" max="2" width="40.28515625" style="94" bestFit="1" customWidth="1"/>
    <col min="3" max="3" width="9.5703125" style="94" bestFit="1" customWidth="1"/>
    <col min="4" max="4" width="22.85546875" style="94" bestFit="1" customWidth="1"/>
    <col min="5" max="5" width="11.42578125" style="94" bestFit="1" customWidth="1"/>
    <col min="6" max="6" width="20.140625" style="94" bestFit="1" customWidth="1"/>
    <col min="7" max="7" width="13.28515625" style="94" bestFit="1" customWidth="1"/>
    <col min="8" max="8" width="20.42578125" style="94" bestFit="1" customWidth="1"/>
    <col min="9" max="9" width="10" style="94" bestFit="1" customWidth="1"/>
    <col min="10" max="10" width="21.7109375" style="94" bestFit="1" customWidth="1"/>
    <col min="11" max="16384" width="9.140625" style="94"/>
  </cols>
  <sheetData>
    <row r="1" spans="2:18" x14ac:dyDescent="0.25">
      <c r="B1" s="133"/>
      <c r="C1" s="133"/>
      <c r="D1" s="133"/>
      <c r="E1" s="133"/>
      <c r="F1" s="133"/>
      <c r="G1" s="133"/>
      <c r="H1" s="133"/>
      <c r="I1" s="133"/>
      <c r="J1" s="133"/>
    </row>
    <row r="2" spans="2:18" x14ac:dyDescent="0.25">
      <c r="B2" s="133"/>
      <c r="C2" s="133"/>
      <c r="D2" s="133"/>
      <c r="E2" s="133"/>
      <c r="F2" s="133"/>
      <c r="G2" s="133"/>
      <c r="H2" s="133"/>
      <c r="I2" s="133"/>
      <c r="J2" s="133"/>
    </row>
    <row r="3" spans="2:18" x14ac:dyDescent="0.25">
      <c r="B3" s="135" t="s">
        <v>257</v>
      </c>
      <c r="C3" s="133"/>
      <c r="D3" s="133"/>
      <c r="E3" s="133"/>
      <c r="F3" s="133"/>
      <c r="G3" s="133"/>
      <c r="H3" s="133"/>
      <c r="I3" s="133"/>
      <c r="J3" s="133"/>
    </row>
    <row r="4" spans="2:18" x14ac:dyDescent="0.25">
      <c r="B4" s="135" t="s">
        <v>256</v>
      </c>
      <c r="C4" s="133"/>
      <c r="D4" s="133"/>
      <c r="E4" s="133"/>
      <c r="F4" s="133"/>
      <c r="G4" s="133"/>
      <c r="H4" s="133"/>
      <c r="I4" s="133"/>
      <c r="J4" s="133"/>
    </row>
    <row r="5" spans="2:18" x14ac:dyDescent="0.25">
      <c r="B5" s="134"/>
      <c r="C5" s="133"/>
      <c r="D5" s="133"/>
      <c r="E5" s="133"/>
      <c r="F5" s="133"/>
      <c r="G5" s="133"/>
      <c r="H5" s="133"/>
      <c r="I5" s="133"/>
      <c r="J5" s="133"/>
    </row>
    <row r="6" spans="2:18" x14ac:dyDescent="0.25">
      <c r="B6" s="133"/>
      <c r="C6" s="133"/>
      <c r="D6" s="133"/>
      <c r="E6" s="133"/>
      <c r="F6" s="133"/>
      <c r="G6" s="133"/>
      <c r="H6" s="133"/>
      <c r="I6" s="133"/>
      <c r="J6" s="133"/>
    </row>
    <row r="8" spans="2:18" ht="18.75" x14ac:dyDescent="0.3">
      <c r="B8" s="132" t="s">
        <v>220</v>
      </c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</row>
    <row r="10" spans="2:18" x14ac:dyDescent="0.25">
      <c r="B10" s="130" t="s">
        <v>255</v>
      </c>
      <c r="C10" s="130"/>
      <c r="D10" s="130"/>
      <c r="E10" s="130"/>
      <c r="F10" s="130"/>
    </row>
    <row r="12" spans="2:18" ht="15.75" thickBot="1" x14ac:dyDescent="0.3">
      <c r="B12" s="94" t="s">
        <v>254</v>
      </c>
    </row>
    <row r="13" spans="2:18" x14ac:dyDescent="0.25">
      <c r="B13" s="129"/>
      <c r="C13" s="129"/>
      <c r="D13" s="129"/>
      <c r="E13" s="129"/>
      <c r="F13" s="129"/>
      <c r="G13" s="129" t="s">
        <v>253</v>
      </c>
      <c r="H13" s="129" t="s">
        <v>253</v>
      </c>
      <c r="I13" s="129" t="s">
        <v>252</v>
      </c>
      <c r="J13" s="129" t="s">
        <v>251</v>
      </c>
    </row>
    <row r="14" spans="2:18" ht="18" thickBot="1" x14ac:dyDescent="0.3">
      <c r="B14" s="128" t="s">
        <v>250</v>
      </c>
      <c r="C14" s="128" t="s">
        <v>249</v>
      </c>
      <c r="D14" s="128" t="s">
        <v>226</v>
      </c>
      <c r="E14" s="128" t="s">
        <v>248</v>
      </c>
      <c r="F14" s="128" t="s">
        <v>247</v>
      </c>
      <c r="G14" s="128" t="s">
        <v>246</v>
      </c>
      <c r="H14" s="128" t="s">
        <v>245</v>
      </c>
      <c r="I14" s="128" t="s">
        <v>244</v>
      </c>
      <c r="J14" s="128" t="s">
        <v>243</v>
      </c>
    </row>
    <row r="16" spans="2:18" x14ac:dyDescent="0.25">
      <c r="B16" s="127" t="s">
        <v>242</v>
      </c>
      <c r="C16" s="127" t="s">
        <v>237</v>
      </c>
      <c r="D16" s="123">
        <v>710.8</v>
      </c>
      <c r="E16" s="126">
        <v>226410.2</v>
      </c>
      <c r="F16" s="125">
        <v>0.3</v>
      </c>
      <c r="G16" s="124">
        <v>3.0999999999999999E-3</v>
      </c>
      <c r="H16" s="124">
        <v>3.0999999999999999E-3</v>
      </c>
      <c r="I16" s="123">
        <v>1.24</v>
      </c>
      <c r="J16" s="122">
        <v>1.24</v>
      </c>
    </row>
    <row r="17" spans="2:10" x14ac:dyDescent="0.25">
      <c r="B17" s="127" t="s">
        <v>241</v>
      </c>
      <c r="C17" s="127" t="s">
        <v>237</v>
      </c>
      <c r="D17" s="126">
        <v>4526</v>
      </c>
      <c r="E17" s="126">
        <v>46442.7</v>
      </c>
      <c r="F17" s="125">
        <v>0.3</v>
      </c>
      <c r="G17" s="124">
        <v>9.5100000000000004E-2</v>
      </c>
      <c r="H17" s="124">
        <v>8.6900000000000005E-2</v>
      </c>
      <c r="I17" s="123">
        <v>1.4</v>
      </c>
      <c r="J17" s="122">
        <v>1.31</v>
      </c>
    </row>
    <row r="18" spans="2:10" x14ac:dyDescent="0.25">
      <c r="B18" s="127" t="s">
        <v>240</v>
      </c>
      <c r="C18" s="127" t="s">
        <v>237</v>
      </c>
      <c r="D18" s="123">
        <v>248.9</v>
      </c>
      <c r="E18" s="126">
        <v>30929.9</v>
      </c>
      <c r="F18" s="125">
        <v>0.3</v>
      </c>
      <c r="G18" s="124">
        <v>8.8000000000000005E-3</v>
      </c>
      <c r="H18" s="124">
        <v>8.6999999999999994E-3</v>
      </c>
      <c r="I18" s="123">
        <v>1.37</v>
      </c>
      <c r="J18" s="122">
        <v>1.36</v>
      </c>
    </row>
    <row r="19" spans="2:10" x14ac:dyDescent="0.25">
      <c r="B19" s="127" t="s">
        <v>239</v>
      </c>
      <c r="C19" s="127" t="s">
        <v>237</v>
      </c>
      <c r="D19" s="126">
        <v>4617.6000000000004</v>
      </c>
      <c r="E19" s="126">
        <v>23556.7</v>
      </c>
      <c r="F19" s="125">
        <v>0.3</v>
      </c>
      <c r="G19" s="124">
        <v>0.19739999999999999</v>
      </c>
      <c r="H19" s="124">
        <v>0.1648</v>
      </c>
      <c r="I19" s="123">
        <v>1.23</v>
      </c>
      <c r="J19" s="122">
        <v>1.08</v>
      </c>
    </row>
    <row r="20" spans="2:10" x14ac:dyDescent="0.25">
      <c r="B20" s="127" t="s">
        <v>238</v>
      </c>
      <c r="C20" s="127" t="s">
        <v>237</v>
      </c>
      <c r="D20" s="123">
        <v>805.5</v>
      </c>
      <c r="E20" s="126">
        <v>21853.8</v>
      </c>
      <c r="F20" s="125">
        <v>0.3</v>
      </c>
      <c r="G20" s="124">
        <v>3.49E-2</v>
      </c>
      <c r="H20" s="124">
        <v>3.3700000000000001E-2</v>
      </c>
      <c r="I20" s="123">
        <v>1.41</v>
      </c>
      <c r="J20" s="122">
        <v>1.38</v>
      </c>
    </row>
    <row r="22" spans="2:10" x14ac:dyDescent="0.25">
      <c r="E22" s="121" t="s">
        <v>236</v>
      </c>
      <c r="F22" s="120">
        <f>AVERAGE(F16:F20)</f>
        <v>0.3</v>
      </c>
      <c r="G22" s="118">
        <f>AVERAGE(G16:G20)</f>
        <v>6.7860000000000004E-2</v>
      </c>
      <c r="H22" s="118">
        <f>AVERAGE(H16:H20)</f>
        <v>5.9440000000000007E-2</v>
      </c>
      <c r="I22" s="119">
        <f>AVERAGE(I16:I20)</f>
        <v>1.33</v>
      </c>
      <c r="J22" s="118">
        <f>AVERAGE(J16:J20)</f>
        <v>1.274</v>
      </c>
    </row>
    <row r="23" spans="2:10" x14ac:dyDescent="0.25">
      <c r="E23" s="102" t="s">
        <v>149</v>
      </c>
      <c r="F23" s="117">
        <f>MEDIAN(F16:F20)</f>
        <v>0.3</v>
      </c>
      <c r="G23" s="115">
        <f>MEDIAN(G16:G20)</f>
        <v>3.49E-2</v>
      </c>
      <c r="H23" s="115">
        <f>MEDIAN(H16:H20)</f>
        <v>3.3700000000000001E-2</v>
      </c>
      <c r="I23" s="116">
        <f>MEDIAN(I16:I20)</f>
        <v>1.37</v>
      </c>
      <c r="J23" s="115">
        <f>MEDIAN(J16:J20)</f>
        <v>1.31</v>
      </c>
    </row>
    <row r="26" spans="2:10" x14ac:dyDescent="0.25">
      <c r="B26" s="102" t="s">
        <v>217</v>
      </c>
      <c r="C26" s="101"/>
      <c r="D26" s="101"/>
      <c r="E26" s="101"/>
      <c r="G26" s="102" t="s">
        <v>219</v>
      </c>
      <c r="H26" s="101"/>
      <c r="I26" s="101"/>
      <c r="J26" s="101"/>
    </row>
    <row r="28" spans="2:10" x14ac:dyDescent="0.25">
      <c r="B28" s="94" t="s">
        <v>235</v>
      </c>
      <c r="E28" s="97">
        <f>69/710</f>
        <v>9.7183098591549291E-2</v>
      </c>
      <c r="G28" s="94" t="s">
        <v>234</v>
      </c>
      <c r="J28" s="111">
        <v>7.1499999999999994E-2</v>
      </c>
    </row>
    <row r="29" spans="2:10" x14ac:dyDescent="0.25">
      <c r="B29" s="94" t="s">
        <v>224</v>
      </c>
      <c r="E29" s="97">
        <f>F23</f>
        <v>0.3</v>
      </c>
      <c r="G29" s="94" t="s">
        <v>233</v>
      </c>
      <c r="J29" s="111">
        <f>RM!F11-J28</f>
        <v>8.2934782608695648E-2</v>
      </c>
    </row>
    <row r="30" spans="2:10" ht="17.25" x14ac:dyDescent="0.25">
      <c r="B30" s="113" t="s">
        <v>232</v>
      </c>
      <c r="C30" s="107"/>
      <c r="D30" s="107"/>
      <c r="E30" s="112">
        <f>E28*(1-E29)</f>
        <v>6.8028169014084497E-2</v>
      </c>
      <c r="G30" s="94" t="s">
        <v>231</v>
      </c>
      <c r="J30" s="114">
        <f>J39</f>
        <v>1.3679510929658927</v>
      </c>
    </row>
    <row r="31" spans="2:10" x14ac:dyDescent="0.25">
      <c r="G31" s="113" t="s">
        <v>219</v>
      </c>
      <c r="H31" s="107"/>
      <c r="I31" s="107"/>
      <c r="J31" s="112">
        <f>J28+(J29*J30)</f>
        <v>0.18495072651445393</v>
      </c>
    </row>
    <row r="34" spans="2:10" x14ac:dyDescent="0.25">
      <c r="B34" s="102" t="s">
        <v>230</v>
      </c>
      <c r="C34" s="101"/>
      <c r="D34" s="101"/>
      <c r="E34" s="101"/>
      <c r="G34" s="102" t="s">
        <v>230</v>
      </c>
      <c r="H34" s="101"/>
      <c r="I34" s="101"/>
      <c r="J34" s="101"/>
    </row>
    <row r="36" spans="2:10" x14ac:dyDescent="0.25">
      <c r="D36" s="102" t="s">
        <v>229</v>
      </c>
      <c r="E36" s="102" t="s">
        <v>228</v>
      </c>
      <c r="G36" s="94" t="s">
        <v>227</v>
      </c>
      <c r="J36" s="97">
        <f>J23</f>
        <v>1.31</v>
      </c>
    </row>
    <row r="37" spans="2:10" x14ac:dyDescent="0.25">
      <c r="B37" s="94" t="s">
        <v>226</v>
      </c>
      <c r="C37" s="110">
        <f>D16</f>
        <v>710.8</v>
      </c>
      <c r="D37" s="97">
        <f>C37/$C$39</f>
        <v>3.1296093271868299E-3</v>
      </c>
      <c r="E37" s="111">
        <f>H22</f>
        <v>5.9440000000000007E-2</v>
      </c>
      <c r="G37" s="94" t="s">
        <v>225</v>
      </c>
      <c r="J37" s="97">
        <f>E41</f>
        <v>6.319639363783279E-2</v>
      </c>
    </row>
    <row r="38" spans="2:10" x14ac:dyDescent="0.25">
      <c r="B38" s="94" t="s">
        <v>43</v>
      </c>
      <c r="C38" s="110">
        <f>E16</f>
        <v>226410.2</v>
      </c>
      <c r="D38" s="97">
        <f>C38/$C$39</f>
        <v>0.99687039067281324</v>
      </c>
      <c r="E38" s="97">
        <f>E39-E37</f>
        <v>0.94055999999999995</v>
      </c>
      <c r="G38" s="109" t="s">
        <v>224</v>
      </c>
      <c r="H38" s="109"/>
      <c r="I38" s="109"/>
      <c r="J38" s="108">
        <f>E29</f>
        <v>0.3</v>
      </c>
    </row>
    <row r="39" spans="2:10" x14ac:dyDescent="0.25">
      <c r="B39" s="107" t="s">
        <v>223</v>
      </c>
      <c r="C39" s="106">
        <f>SUM(C37:C38)</f>
        <v>227121</v>
      </c>
      <c r="D39" s="105">
        <f>C39/$C$39</f>
        <v>1</v>
      </c>
      <c r="E39" s="105">
        <f>D39</f>
        <v>1</v>
      </c>
      <c r="G39" s="98" t="s">
        <v>222</v>
      </c>
      <c r="J39" s="104">
        <f>J36*(1+(1-J38)*J37)</f>
        <v>1.3679510929658927</v>
      </c>
    </row>
    <row r="41" spans="2:10" x14ac:dyDescent="0.25">
      <c r="B41" s="98" t="s">
        <v>221</v>
      </c>
      <c r="D41" s="103">
        <f>D37/D38</f>
        <v>3.1394345307764401E-3</v>
      </c>
      <c r="E41" s="103">
        <f>E37/E38</f>
        <v>6.319639363783279E-2</v>
      </c>
      <c r="G41" s="102" t="s">
        <v>220</v>
      </c>
      <c r="H41" s="101"/>
      <c r="I41" s="101"/>
      <c r="J41" s="101"/>
    </row>
    <row r="43" spans="2:10" x14ac:dyDescent="0.25">
      <c r="G43" s="94" t="s">
        <v>219</v>
      </c>
      <c r="H43" s="100">
        <f>J31</f>
        <v>0.18495072651445393</v>
      </c>
      <c r="I43" s="99"/>
      <c r="J43" s="99"/>
    </row>
    <row r="44" spans="2:10" x14ac:dyDescent="0.25">
      <c r="G44" s="94" t="s">
        <v>218</v>
      </c>
      <c r="H44" s="100">
        <f>E38</f>
        <v>0.94055999999999995</v>
      </c>
      <c r="I44" s="99"/>
      <c r="J44" s="99"/>
    </row>
    <row r="45" spans="2:10" x14ac:dyDescent="0.25">
      <c r="G45" s="99"/>
      <c r="H45" s="99"/>
      <c r="I45" s="99"/>
      <c r="J45" s="99"/>
    </row>
    <row r="46" spans="2:10" x14ac:dyDescent="0.25">
      <c r="G46" s="99" t="s">
        <v>217</v>
      </c>
      <c r="H46" s="100">
        <f>E30</f>
        <v>6.8028169014084497E-2</v>
      </c>
      <c r="I46" s="99"/>
      <c r="J46" s="99"/>
    </row>
    <row r="47" spans="2:10" x14ac:dyDescent="0.25">
      <c r="G47" s="94" t="s">
        <v>216</v>
      </c>
      <c r="H47" s="97">
        <f>E37</f>
        <v>5.9440000000000007E-2</v>
      </c>
    </row>
    <row r="49" spans="2:8" x14ac:dyDescent="0.25">
      <c r="G49" s="98" t="s">
        <v>215</v>
      </c>
      <c r="H49" s="97">
        <f>(H43*H44)+(H46*H47)</f>
        <v>0.17800084969663199</v>
      </c>
    </row>
    <row r="50" spans="2:8" x14ac:dyDescent="0.25">
      <c r="B50" s="96" t="s">
        <v>214</v>
      </c>
    </row>
    <row r="51" spans="2:8" x14ac:dyDescent="0.25">
      <c r="B51" s="95" t="s">
        <v>213</v>
      </c>
    </row>
    <row r="52" spans="2:8" x14ac:dyDescent="0.25">
      <c r="B52" s="95" t="s">
        <v>212</v>
      </c>
    </row>
    <row r="53" spans="2:8" x14ac:dyDescent="0.25">
      <c r="B53" s="95" t="s">
        <v>211</v>
      </c>
    </row>
    <row r="54" spans="2:8" x14ac:dyDescent="0.25">
      <c r="B54" s="95" t="s">
        <v>210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CFB7-0347-4738-8FED-158163928BCE}">
  <sheetPr>
    <tabColor theme="7" tint="-0.499984740745262"/>
  </sheetPr>
  <dimension ref="A1"/>
  <sheetViews>
    <sheetView showGridLines="0" topLeftCell="A4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EC44-D7E4-4EBA-BCF5-C2D26179414B}">
  <dimension ref="B2:T112"/>
  <sheetViews>
    <sheetView showGridLines="0" workbookViewId="0">
      <selection activeCell="I4" sqref="I4:J4"/>
    </sheetView>
  </sheetViews>
  <sheetFormatPr defaultRowHeight="15" x14ac:dyDescent="0.25"/>
  <cols>
    <col min="1" max="1" width="1.85546875" customWidth="1"/>
    <col min="2" max="2" width="10.140625" bestFit="1" customWidth="1"/>
    <col min="3" max="3" width="12.28515625" bestFit="1" customWidth="1"/>
    <col min="4" max="4" width="16.5703125" bestFit="1" customWidth="1"/>
    <col min="6" max="6" width="12.28515625" bestFit="1" customWidth="1"/>
    <col min="7" max="7" width="14.42578125" bestFit="1" customWidth="1"/>
    <col min="8" max="8" width="14.42578125" customWidth="1"/>
    <col min="9" max="9" width="18.85546875" bestFit="1" customWidth="1"/>
    <col min="10" max="10" width="20.42578125" bestFit="1" customWidth="1"/>
    <col min="12" max="12" width="17.42578125" bestFit="1" customWidth="1"/>
    <col min="13" max="13" width="12.7109375" bestFit="1" customWidth="1"/>
    <col min="14" max="14" width="14.5703125" bestFit="1" customWidth="1"/>
    <col min="15" max="15" width="12.7109375" bestFit="1" customWidth="1"/>
    <col min="16" max="16" width="12" bestFit="1" customWidth="1"/>
    <col min="17" max="17" width="13.42578125" bestFit="1" customWidth="1"/>
    <col min="18" max="18" width="12" bestFit="1" customWidth="1"/>
    <col min="19" max="19" width="12.7109375" bestFit="1" customWidth="1"/>
    <col min="20" max="20" width="12.5703125" bestFit="1" customWidth="1"/>
  </cols>
  <sheetData>
    <row r="2" spans="2:13" x14ac:dyDescent="0.25">
      <c r="B2" s="11" t="s">
        <v>293</v>
      </c>
    </row>
    <row r="3" spans="2:13" x14ac:dyDescent="0.25">
      <c r="B3" s="11"/>
    </row>
    <row r="4" spans="2:13" x14ac:dyDescent="0.25">
      <c r="B4" s="150" t="s">
        <v>292</v>
      </c>
      <c r="C4" s="150"/>
      <c r="D4" s="150"/>
      <c r="F4" s="150" t="s">
        <v>291</v>
      </c>
      <c r="G4" s="150"/>
      <c r="I4" s="150" t="s">
        <v>290</v>
      </c>
      <c r="J4" s="150"/>
      <c r="L4" t="s">
        <v>289</v>
      </c>
      <c r="M4" s="141">
        <f>SLOPE(D8:D112,G8:G112)</f>
        <v>1.2010993545113482</v>
      </c>
    </row>
    <row r="5" spans="2:13" x14ac:dyDescent="0.25">
      <c r="B5" s="11"/>
      <c r="L5" t="s">
        <v>288</v>
      </c>
      <c r="M5" s="141">
        <f>_xlfn.COVARIANCE.S(D7:D112,G7:G112)/_xlfn.VAR.S(G7:G112)</f>
        <v>1.201099354511348</v>
      </c>
    </row>
    <row r="6" spans="2:13" x14ac:dyDescent="0.25">
      <c r="B6" s="145" t="s">
        <v>155</v>
      </c>
      <c r="C6" s="144" t="s">
        <v>156</v>
      </c>
      <c r="D6" s="143" t="s">
        <v>157</v>
      </c>
      <c r="F6" s="144" t="s">
        <v>156</v>
      </c>
      <c r="G6" s="143" t="s">
        <v>157</v>
      </c>
      <c r="H6" s="11"/>
      <c r="I6" t="s">
        <v>287</v>
      </c>
      <c r="J6" s="142">
        <f>M7</f>
        <v>1.201099354511348</v>
      </c>
    </row>
    <row r="7" spans="2:13" x14ac:dyDescent="0.25">
      <c r="B7" s="62">
        <v>44452</v>
      </c>
      <c r="C7" s="63">
        <v>4239.6499020000001</v>
      </c>
      <c r="F7" s="63">
        <v>17585.150390999999</v>
      </c>
      <c r="I7" t="s">
        <v>286</v>
      </c>
      <c r="J7" s="140">
        <v>0.75</v>
      </c>
      <c r="L7" t="s">
        <v>285</v>
      </c>
      <c r="M7" s="141">
        <f>M26</f>
        <v>1.201099354511348</v>
      </c>
    </row>
    <row r="8" spans="2:13" x14ac:dyDescent="0.25">
      <c r="B8" s="62">
        <v>44459</v>
      </c>
      <c r="C8" s="63">
        <v>4422.3500979999999</v>
      </c>
      <c r="D8" s="32">
        <f t="shared" ref="D8:D39" si="0">C8/C7-1</f>
        <v>4.3093227087881214E-2</v>
      </c>
      <c r="F8" s="63">
        <v>17853.199218999998</v>
      </c>
      <c r="G8" s="32">
        <f t="shared" ref="G8:G39" si="1">F8/F7-1</f>
        <v>1.5242907910368864E-2</v>
      </c>
      <c r="H8" s="32"/>
    </row>
    <row r="9" spans="2:13" x14ac:dyDescent="0.25">
      <c r="B9" s="62">
        <v>44466</v>
      </c>
      <c r="C9" s="63">
        <v>4235.6000979999999</v>
      </c>
      <c r="D9" s="32">
        <f t="shared" si="0"/>
        <v>-4.2228678386285412E-2</v>
      </c>
      <c r="F9" s="63">
        <v>17532.050781000002</v>
      </c>
      <c r="G9" s="32">
        <f t="shared" si="1"/>
        <v>-1.7988285128091697E-2</v>
      </c>
      <c r="H9" s="32"/>
      <c r="I9" s="32" t="s">
        <v>284</v>
      </c>
      <c r="J9" s="141">
        <v>1</v>
      </c>
      <c r="L9" t="s">
        <v>283</v>
      </c>
    </row>
    <row r="10" spans="2:13" ht="15.75" thickBot="1" x14ac:dyDescent="0.3">
      <c r="B10" s="62">
        <v>44473</v>
      </c>
      <c r="C10" s="63">
        <v>4407.9501950000003</v>
      </c>
      <c r="D10" s="32">
        <f t="shared" si="0"/>
        <v>4.0690833178840924E-2</v>
      </c>
      <c r="F10" s="63">
        <v>17895.199218999998</v>
      </c>
      <c r="G10" s="32">
        <f t="shared" si="1"/>
        <v>2.0713403271313213E-2</v>
      </c>
      <c r="H10" s="32"/>
      <c r="I10" s="32" t="s">
        <v>282</v>
      </c>
      <c r="J10" s="140">
        <v>0.25</v>
      </c>
    </row>
    <row r="11" spans="2:13" x14ac:dyDescent="0.25">
      <c r="B11" s="62">
        <v>44480</v>
      </c>
      <c r="C11" s="63">
        <v>5323.75</v>
      </c>
      <c r="D11" s="32">
        <f t="shared" si="0"/>
        <v>0.2077609238958289</v>
      </c>
      <c r="F11" s="63">
        <v>18338.550781000002</v>
      </c>
      <c r="G11" s="32">
        <f t="shared" si="1"/>
        <v>2.4774888313580767E-2</v>
      </c>
      <c r="H11" s="32"/>
      <c r="I11" s="32"/>
      <c r="L11" s="139" t="s">
        <v>281</v>
      </c>
      <c r="M11" s="139"/>
    </row>
    <row r="12" spans="2:13" x14ac:dyDescent="0.25">
      <c r="B12" s="62">
        <v>44487</v>
      </c>
      <c r="C12" s="63">
        <v>4521.4501950000003</v>
      </c>
      <c r="D12" s="32">
        <f t="shared" si="0"/>
        <v>-0.1507020061047194</v>
      </c>
      <c r="F12" s="63">
        <v>18114.900390999999</v>
      </c>
      <c r="G12" s="32">
        <f t="shared" si="1"/>
        <v>-1.2195641447944716E-2</v>
      </c>
      <c r="H12" s="32"/>
      <c r="I12" s="61" t="s">
        <v>280</v>
      </c>
      <c r="J12" s="138">
        <f>(J6*J7)+(J9*J10)</f>
        <v>1.1508245158835111</v>
      </c>
      <c r="L12" t="s">
        <v>279</v>
      </c>
      <c r="M12">
        <v>0.479747972192759</v>
      </c>
    </row>
    <row r="13" spans="2:13" x14ac:dyDescent="0.25">
      <c r="B13" s="62">
        <v>44494</v>
      </c>
      <c r="C13" s="63">
        <v>4635.4501950000003</v>
      </c>
      <c r="D13" s="32">
        <f t="shared" si="0"/>
        <v>2.5213149561188475E-2</v>
      </c>
      <c r="F13" s="63">
        <v>17671.650390999999</v>
      </c>
      <c r="G13" s="32">
        <f t="shared" si="1"/>
        <v>-2.4468806917658736E-2</v>
      </c>
      <c r="H13" s="32"/>
      <c r="I13" s="32"/>
      <c r="L13" t="s">
        <v>278</v>
      </c>
      <c r="M13">
        <v>0.23015811682306428</v>
      </c>
    </row>
    <row r="14" spans="2:13" x14ac:dyDescent="0.25">
      <c r="B14" s="62">
        <v>44501</v>
      </c>
      <c r="C14" s="63">
        <v>4783.7001950000003</v>
      </c>
      <c r="D14" s="32">
        <f t="shared" si="0"/>
        <v>3.1981791145099248E-2</v>
      </c>
      <c r="F14" s="63">
        <v>17916.800781000002</v>
      </c>
      <c r="G14" s="32">
        <f t="shared" si="1"/>
        <v>1.3872523764099309E-2</v>
      </c>
      <c r="H14" s="32"/>
      <c r="I14" s="32"/>
      <c r="L14" t="s">
        <v>277</v>
      </c>
      <c r="M14">
        <v>0.22268392378251151</v>
      </c>
    </row>
    <row r="15" spans="2:13" x14ac:dyDescent="0.25">
      <c r="B15" s="62">
        <v>44508</v>
      </c>
      <c r="C15" s="63">
        <v>5078.5498049999997</v>
      </c>
      <c r="D15" s="32">
        <f t="shared" si="0"/>
        <v>6.1636306202504265E-2</v>
      </c>
      <c r="F15" s="63">
        <v>18102.75</v>
      </c>
      <c r="G15" s="32">
        <f t="shared" si="1"/>
        <v>1.0378483372834646E-2</v>
      </c>
      <c r="H15" s="32"/>
      <c r="I15" s="32"/>
      <c r="L15" t="s">
        <v>266</v>
      </c>
      <c r="M15">
        <v>4.2841555749011412E-2</v>
      </c>
    </row>
    <row r="16" spans="2:13" ht="15.75" thickBot="1" x14ac:dyDescent="0.3">
      <c r="B16" s="62">
        <v>44515</v>
      </c>
      <c r="C16" s="63">
        <v>5080.8999020000001</v>
      </c>
      <c r="D16" s="32">
        <f t="shared" si="0"/>
        <v>4.6274962149372989E-4</v>
      </c>
      <c r="F16" s="63">
        <v>17764.800781000002</v>
      </c>
      <c r="G16" s="32">
        <f t="shared" si="1"/>
        <v>-1.8668391211279944E-2</v>
      </c>
      <c r="H16" s="32"/>
      <c r="I16" s="32"/>
      <c r="L16" s="136" t="s">
        <v>276</v>
      </c>
      <c r="M16" s="136">
        <v>105</v>
      </c>
    </row>
    <row r="17" spans="2:20" x14ac:dyDescent="0.25">
      <c r="B17" s="62">
        <v>44522</v>
      </c>
      <c r="C17" s="63">
        <v>4718.75</v>
      </c>
      <c r="D17" s="32">
        <f t="shared" si="0"/>
        <v>-7.1276724396291846E-2</v>
      </c>
      <c r="F17" s="63">
        <v>17026.449218999998</v>
      </c>
      <c r="G17" s="32">
        <f t="shared" si="1"/>
        <v>-4.1562614245001406E-2</v>
      </c>
      <c r="H17" s="32"/>
      <c r="I17" s="32"/>
    </row>
    <row r="18" spans="2:20" ht="15.75" thickBot="1" x14ac:dyDescent="0.3">
      <c r="B18" s="62">
        <v>44529</v>
      </c>
      <c r="C18" s="63">
        <v>4799.0498049999997</v>
      </c>
      <c r="D18" s="32">
        <f t="shared" si="0"/>
        <v>1.7017177218543011E-2</v>
      </c>
      <c r="F18" s="63">
        <v>17196.699218999998</v>
      </c>
      <c r="G18" s="32">
        <f t="shared" si="1"/>
        <v>9.9991488424970854E-3</v>
      </c>
      <c r="H18" s="32"/>
      <c r="I18" s="32"/>
      <c r="L18" t="s">
        <v>275</v>
      </c>
    </row>
    <row r="19" spans="2:20" x14ac:dyDescent="0.25">
      <c r="B19" s="62">
        <v>44536</v>
      </c>
      <c r="C19" s="63">
        <v>4796.6000979999999</v>
      </c>
      <c r="D19" s="32">
        <f t="shared" si="0"/>
        <v>-5.1045667362059621E-4</v>
      </c>
      <c r="F19" s="63">
        <v>17511.300781000002</v>
      </c>
      <c r="G19" s="32">
        <f t="shared" si="1"/>
        <v>1.8294299271828462E-2</v>
      </c>
      <c r="H19" s="32"/>
      <c r="I19" s="32"/>
      <c r="L19" s="137"/>
      <c r="M19" s="137" t="s">
        <v>274</v>
      </c>
      <c r="N19" s="137" t="s">
        <v>273</v>
      </c>
      <c r="O19" s="137" t="s">
        <v>272</v>
      </c>
      <c r="P19" s="137" t="s">
        <v>271</v>
      </c>
      <c r="Q19" s="137" t="s">
        <v>270</v>
      </c>
    </row>
    <row r="20" spans="2:20" x14ac:dyDescent="0.25">
      <c r="B20" s="62">
        <v>44543</v>
      </c>
      <c r="C20" s="63">
        <v>4697.7998049999997</v>
      </c>
      <c r="D20" s="32">
        <f t="shared" si="0"/>
        <v>-2.059798419326142E-2</v>
      </c>
      <c r="F20" s="63">
        <v>16985.199218999998</v>
      </c>
      <c r="G20" s="32">
        <f t="shared" si="1"/>
        <v>-3.0043545512668635E-2</v>
      </c>
      <c r="H20" s="32"/>
      <c r="I20" s="32"/>
      <c r="L20" t="s">
        <v>269</v>
      </c>
      <c r="M20">
        <v>1</v>
      </c>
      <c r="N20">
        <v>5.6518737463693181E-2</v>
      </c>
      <c r="O20">
        <v>5.6518737463693181E-2</v>
      </c>
      <c r="P20">
        <v>30.793707838999339</v>
      </c>
      <c r="Q20">
        <v>2.2399631070426772E-7</v>
      </c>
    </row>
    <row r="21" spans="2:20" x14ac:dyDescent="0.25">
      <c r="B21" s="62">
        <v>44550</v>
      </c>
      <c r="C21" s="63">
        <v>4628.8999020000001</v>
      </c>
      <c r="D21" s="32">
        <f t="shared" si="0"/>
        <v>-1.4666419570852574E-2</v>
      </c>
      <c r="F21" s="63">
        <v>17003.75</v>
      </c>
      <c r="G21" s="32">
        <f t="shared" si="1"/>
        <v>1.0921732951623131E-3</v>
      </c>
      <c r="H21" s="32"/>
      <c r="I21" s="32"/>
      <c r="L21" t="s">
        <v>268</v>
      </c>
      <c r="M21">
        <v>103</v>
      </c>
      <c r="N21">
        <v>0.1890460865965522</v>
      </c>
      <c r="O21">
        <v>1.8353988989956525E-3</v>
      </c>
    </row>
    <row r="22" spans="2:20" ht="15.75" thickBot="1" x14ac:dyDescent="0.3">
      <c r="B22" s="62">
        <v>44557</v>
      </c>
      <c r="C22" s="63">
        <v>4671.4501950000003</v>
      </c>
      <c r="D22" s="32">
        <f t="shared" si="0"/>
        <v>9.1923121909842642E-3</v>
      </c>
      <c r="F22" s="63">
        <v>17354.050781000002</v>
      </c>
      <c r="G22" s="32">
        <f t="shared" si="1"/>
        <v>2.0601383871204915E-2</v>
      </c>
      <c r="H22" s="32"/>
      <c r="I22" s="32"/>
      <c r="L22" s="136" t="s">
        <v>12</v>
      </c>
      <c r="M22" s="136">
        <v>104</v>
      </c>
      <c r="N22" s="136">
        <v>0.24556482406024538</v>
      </c>
      <c r="O22" s="136"/>
      <c r="P22" s="136"/>
      <c r="Q22" s="136"/>
    </row>
    <row r="23" spans="2:20" ht="15.75" thickBot="1" x14ac:dyDescent="0.3">
      <c r="B23" s="62">
        <v>44564</v>
      </c>
      <c r="C23" s="63">
        <v>4731.3500979999999</v>
      </c>
      <c r="D23" s="32">
        <f t="shared" si="0"/>
        <v>1.2822549850603604E-2</v>
      </c>
      <c r="F23" s="63">
        <v>17812.699218999998</v>
      </c>
      <c r="G23" s="32">
        <f t="shared" si="1"/>
        <v>2.6428898001275014E-2</v>
      </c>
      <c r="H23" s="32"/>
      <c r="I23" s="32"/>
    </row>
    <row r="24" spans="2:20" x14ac:dyDescent="0.25">
      <c r="B24" s="62">
        <v>44571</v>
      </c>
      <c r="C24" s="63">
        <v>4322.7001950000003</v>
      </c>
      <c r="D24" s="32">
        <f t="shared" si="0"/>
        <v>-8.6370675290492804E-2</v>
      </c>
      <c r="F24" s="63">
        <v>18255.75</v>
      </c>
      <c r="G24" s="32">
        <f t="shared" si="1"/>
        <v>2.4872748119354027E-2</v>
      </c>
      <c r="H24" s="32"/>
      <c r="I24" s="32"/>
      <c r="L24" s="137"/>
      <c r="M24" s="137" t="s">
        <v>267</v>
      </c>
      <c r="N24" s="137" t="s">
        <v>266</v>
      </c>
      <c r="O24" s="137" t="s">
        <v>265</v>
      </c>
      <c r="P24" s="137" t="s">
        <v>264</v>
      </c>
      <c r="Q24" s="137" t="s">
        <v>263</v>
      </c>
      <c r="R24" s="137" t="s">
        <v>262</v>
      </c>
      <c r="S24" s="137" t="s">
        <v>261</v>
      </c>
      <c r="T24" s="137" t="s">
        <v>260</v>
      </c>
    </row>
    <row r="25" spans="2:20" x14ac:dyDescent="0.25">
      <c r="B25" s="62">
        <v>44578</v>
      </c>
      <c r="C25" s="63">
        <v>4299.7998049999997</v>
      </c>
      <c r="D25" s="32">
        <f t="shared" si="0"/>
        <v>-5.2977048990094922E-3</v>
      </c>
      <c r="F25" s="63">
        <v>17617.150390999999</v>
      </c>
      <c r="G25" s="32">
        <f t="shared" si="1"/>
        <v>-3.4980738068827621E-2</v>
      </c>
      <c r="H25" s="32"/>
      <c r="I25" s="32"/>
      <c r="L25" t="s">
        <v>259</v>
      </c>
      <c r="M25">
        <v>-1.7104947569181617E-3</v>
      </c>
      <c r="N25">
        <v>4.1935777773347196E-3</v>
      </c>
      <c r="O25">
        <v>-0.40788435263153455</v>
      </c>
      <c r="P25">
        <v>0.68420518265280483</v>
      </c>
      <c r="Q25">
        <v>-1.0027467201024893E-2</v>
      </c>
      <c r="R25">
        <v>6.6064776871885694E-3</v>
      </c>
      <c r="S25">
        <v>-1.0027467201024893E-2</v>
      </c>
      <c r="T25">
        <v>6.6064776871885694E-3</v>
      </c>
    </row>
    <row r="26" spans="2:20" ht="15.75" thickBot="1" x14ac:dyDescent="0.3">
      <c r="B26" s="62">
        <v>44585</v>
      </c>
      <c r="C26" s="63">
        <v>4076</v>
      </c>
      <c r="D26" s="32">
        <f t="shared" si="0"/>
        <v>-5.2048889518008568E-2</v>
      </c>
      <c r="F26" s="63">
        <v>17101.949218999998</v>
      </c>
      <c r="G26" s="32">
        <f t="shared" si="1"/>
        <v>-2.9244296640800638E-2</v>
      </c>
      <c r="H26" s="32"/>
      <c r="I26" s="32"/>
      <c r="L26" s="136" t="s">
        <v>258</v>
      </c>
      <c r="M26" s="136">
        <v>1.201099354511348</v>
      </c>
      <c r="N26" s="136">
        <v>0.21644519100495793</v>
      </c>
      <c r="O26" s="136">
        <v>5.5492078568926733</v>
      </c>
      <c r="P26" s="136">
        <v>2.2399631070426412E-7</v>
      </c>
      <c r="Q26" s="136">
        <v>0.77183136788257178</v>
      </c>
      <c r="R26" s="136">
        <v>1.6303673411401243</v>
      </c>
      <c r="S26" s="136">
        <v>0.77183136788257178</v>
      </c>
      <c r="T26" s="136">
        <v>1.6303673411401243</v>
      </c>
    </row>
    <row r="27" spans="2:20" x14ac:dyDescent="0.25">
      <c r="B27" s="62">
        <v>44592</v>
      </c>
      <c r="C27" s="63">
        <v>4081.8999020000001</v>
      </c>
      <c r="D27" s="32">
        <f t="shared" si="0"/>
        <v>1.4474735034346597E-3</v>
      </c>
      <c r="F27" s="63">
        <v>17516.300781000002</v>
      </c>
      <c r="G27" s="32">
        <f t="shared" si="1"/>
        <v>2.4228323724623468E-2</v>
      </c>
      <c r="H27" s="32"/>
      <c r="I27" s="32"/>
    </row>
    <row r="28" spans="2:20" x14ac:dyDescent="0.25">
      <c r="B28" s="62">
        <v>44599</v>
      </c>
      <c r="C28" s="63">
        <v>4142.25</v>
      </c>
      <c r="D28" s="32">
        <f t="shared" si="0"/>
        <v>1.4784805960192715E-2</v>
      </c>
      <c r="F28" s="63">
        <v>17374.75</v>
      </c>
      <c r="G28" s="32">
        <f t="shared" si="1"/>
        <v>-8.0810887395552644E-3</v>
      </c>
      <c r="H28" s="32"/>
      <c r="I28" s="32"/>
    </row>
    <row r="29" spans="2:20" x14ac:dyDescent="0.25">
      <c r="B29" s="62">
        <v>44606</v>
      </c>
      <c r="C29" s="63">
        <v>4073.1000979999999</v>
      </c>
      <c r="D29" s="32">
        <f t="shared" si="0"/>
        <v>-1.6693802160661519E-2</v>
      </c>
      <c r="F29" s="63">
        <v>17276.300781000002</v>
      </c>
      <c r="G29" s="32">
        <f t="shared" si="1"/>
        <v>-5.66622362911684E-3</v>
      </c>
      <c r="H29" s="32"/>
      <c r="I29" s="32"/>
    </row>
    <row r="30" spans="2:20" x14ac:dyDescent="0.25">
      <c r="B30" s="62">
        <v>44613</v>
      </c>
      <c r="C30" s="63">
        <v>4190.75</v>
      </c>
      <c r="D30" s="32">
        <f t="shared" si="0"/>
        <v>2.8884608570697523E-2</v>
      </c>
      <c r="F30" s="63">
        <v>16658.400390999999</v>
      </c>
      <c r="G30" s="32">
        <f t="shared" si="1"/>
        <v>-3.5765780987070617E-2</v>
      </c>
      <c r="H30" s="32"/>
      <c r="I30" s="32"/>
    </row>
    <row r="31" spans="2:20" x14ac:dyDescent="0.25">
      <c r="B31" s="62">
        <v>44620</v>
      </c>
      <c r="C31" s="63">
        <v>4110.2001950000003</v>
      </c>
      <c r="D31" s="32">
        <f t="shared" si="0"/>
        <v>-1.9220856648571205E-2</v>
      </c>
      <c r="F31" s="63">
        <v>16245.349609000001</v>
      </c>
      <c r="G31" s="32">
        <f t="shared" si="1"/>
        <v>-2.479534482933643E-2</v>
      </c>
      <c r="H31" s="32"/>
      <c r="I31" s="32"/>
    </row>
    <row r="32" spans="2:20" x14ac:dyDescent="0.25">
      <c r="B32" s="62">
        <v>44627</v>
      </c>
      <c r="C32" s="63">
        <v>4198.9501950000003</v>
      </c>
      <c r="D32" s="32">
        <f t="shared" si="0"/>
        <v>2.1592622205595546E-2</v>
      </c>
      <c r="F32" s="63">
        <v>16630.449218999998</v>
      </c>
      <c r="G32" s="32">
        <f t="shared" si="1"/>
        <v>2.3705221449137115E-2</v>
      </c>
      <c r="H32" s="32"/>
      <c r="I32" s="32"/>
    </row>
    <row r="33" spans="2:9" x14ac:dyDescent="0.25">
      <c r="B33" s="62">
        <v>44634</v>
      </c>
      <c r="C33" s="63">
        <v>4192.75</v>
      </c>
      <c r="D33" s="32">
        <f t="shared" si="0"/>
        <v>-1.476605987702162E-3</v>
      </c>
      <c r="F33" s="63">
        <v>17287.050781000002</v>
      </c>
      <c r="G33" s="32">
        <f t="shared" si="1"/>
        <v>3.9481889716475482E-2</v>
      </c>
      <c r="H33" s="32"/>
      <c r="I33" s="32"/>
    </row>
    <row r="34" spans="2:9" x14ac:dyDescent="0.25">
      <c r="B34" s="62">
        <v>44641</v>
      </c>
      <c r="C34" s="63">
        <v>4001.3000489999999</v>
      </c>
      <c r="D34" s="32">
        <f t="shared" si="0"/>
        <v>-4.5662143223421436E-2</v>
      </c>
      <c r="F34" s="63">
        <v>17153</v>
      </c>
      <c r="G34" s="32">
        <f t="shared" si="1"/>
        <v>-7.7544043051771538E-3</v>
      </c>
      <c r="H34" s="32"/>
      <c r="I34" s="32"/>
    </row>
    <row r="35" spans="2:9" x14ac:dyDescent="0.25">
      <c r="B35" s="62">
        <v>44648</v>
      </c>
      <c r="C35" s="63">
        <v>4082.1999510000001</v>
      </c>
      <c r="D35" s="32">
        <f t="shared" si="0"/>
        <v>2.0218404270936574E-2</v>
      </c>
      <c r="F35" s="63">
        <v>17670.449218999998</v>
      </c>
      <c r="G35" s="32">
        <f t="shared" si="1"/>
        <v>3.0166689150585846E-2</v>
      </c>
      <c r="H35" s="32"/>
      <c r="I35" s="32"/>
    </row>
    <row r="36" spans="2:9" x14ac:dyDescent="0.25">
      <c r="B36" s="62">
        <v>44655</v>
      </c>
      <c r="C36" s="63">
        <v>4146.25</v>
      </c>
      <c r="D36" s="32">
        <f t="shared" si="0"/>
        <v>1.5690081272062617E-2</v>
      </c>
      <c r="F36" s="63">
        <v>17784.349609000001</v>
      </c>
      <c r="G36" s="32">
        <f t="shared" si="1"/>
        <v>6.4458117950692007E-3</v>
      </c>
      <c r="H36" s="32"/>
      <c r="I36" s="32"/>
    </row>
    <row r="37" spans="2:9" x14ac:dyDescent="0.25">
      <c r="B37" s="62">
        <v>44662</v>
      </c>
      <c r="C37" s="63">
        <v>4090.8999020000001</v>
      </c>
      <c r="D37" s="32">
        <f t="shared" si="0"/>
        <v>-1.3349435755200423E-2</v>
      </c>
      <c r="F37" s="63">
        <v>17475.650390999999</v>
      </c>
      <c r="G37" s="32">
        <f t="shared" si="1"/>
        <v>-1.7357914390289553E-2</v>
      </c>
      <c r="H37" s="32"/>
      <c r="I37" s="32"/>
    </row>
    <row r="38" spans="2:9" x14ac:dyDescent="0.25">
      <c r="B38" s="62">
        <v>44669</v>
      </c>
      <c r="C38" s="63">
        <v>4028.8500979999999</v>
      </c>
      <c r="D38" s="32">
        <f t="shared" si="0"/>
        <v>-1.5167763936161038E-2</v>
      </c>
      <c r="F38" s="63">
        <v>17171.949218999998</v>
      </c>
      <c r="G38" s="32">
        <f t="shared" si="1"/>
        <v>-1.7378533285170805E-2</v>
      </c>
      <c r="H38" s="32"/>
      <c r="I38" s="32"/>
    </row>
    <row r="39" spans="2:9" x14ac:dyDescent="0.25">
      <c r="B39" s="62">
        <v>44676</v>
      </c>
      <c r="C39" s="63">
        <v>3944.25</v>
      </c>
      <c r="D39" s="32">
        <f t="shared" si="0"/>
        <v>-2.0998571786524645E-2</v>
      </c>
      <c r="F39" s="63">
        <v>17102.550781000002</v>
      </c>
      <c r="G39" s="32">
        <f t="shared" si="1"/>
        <v>-4.041383835634127E-3</v>
      </c>
      <c r="H39" s="32"/>
      <c r="I39" s="32"/>
    </row>
    <row r="40" spans="2:9" x14ac:dyDescent="0.25">
      <c r="B40" s="62">
        <v>44683</v>
      </c>
      <c r="C40" s="63">
        <v>3666.1999510000001</v>
      </c>
      <c r="D40" s="32">
        <f t="shared" ref="D40:D71" si="2">C40/C39-1</f>
        <v>-7.0495036825758972E-2</v>
      </c>
      <c r="F40" s="63">
        <v>16411.25</v>
      </c>
      <c r="G40" s="32">
        <f t="shared" ref="G40:G71" si="3">F40/F39-1</f>
        <v>-4.0420916730619982E-2</v>
      </c>
      <c r="H40" s="32"/>
      <c r="I40" s="32"/>
    </row>
    <row r="41" spans="2:9" x14ac:dyDescent="0.25">
      <c r="B41" s="62">
        <v>44690</v>
      </c>
      <c r="C41" s="63">
        <v>3230.6000979999999</v>
      </c>
      <c r="D41" s="32">
        <f t="shared" si="2"/>
        <v>-0.11881508341660008</v>
      </c>
      <c r="F41" s="63">
        <v>15782.150390999999</v>
      </c>
      <c r="G41" s="32">
        <f t="shared" si="3"/>
        <v>-3.8333436453652281E-2</v>
      </c>
      <c r="H41" s="32"/>
      <c r="I41" s="32"/>
    </row>
    <row r="42" spans="2:9" x14ac:dyDescent="0.25">
      <c r="B42" s="62">
        <v>44697</v>
      </c>
      <c r="C42" s="63">
        <v>3630.3999020000001</v>
      </c>
      <c r="D42" s="32">
        <f t="shared" si="2"/>
        <v>0.12375403698139809</v>
      </c>
      <c r="F42" s="63">
        <v>16266.150390999999</v>
      </c>
      <c r="G42" s="32">
        <f t="shared" si="3"/>
        <v>3.0667557209187901E-2</v>
      </c>
      <c r="H42" s="32"/>
      <c r="I42" s="32"/>
    </row>
    <row r="43" spans="2:9" x14ac:dyDescent="0.25">
      <c r="B43" s="62">
        <v>44704</v>
      </c>
      <c r="C43" s="63">
        <v>3613.8500979999999</v>
      </c>
      <c r="D43" s="32">
        <f t="shared" si="2"/>
        <v>-4.5586724456672112E-3</v>
      </c>
      <c r="F43" s="63">
        <v>16352.450194999999</v>
      </c>
      <c r="G43" s="32">
        <f t="shared" si="3"/>
        <v>5.3054842064996777E-3</v>
      </c>
      <c r="H43" s="32"/>
      <c r="I43" s="32"/>
    </row>
    <row r="44" spans="2:9" x14ac:dyDescent="0.25">
      <c r="B44" s="62">
        <v>44711</v>
      </c>
      <c r="C44" s="63">
        <v>3820.1000979999999</v>
      </c>
      <c r="D44" s="32">
        <f t="shared" si="2"/>
        <v>5.7072096076742129E-2</v>
      </c>
      <c r="F44" s="63">
        <v>16584.300781000002</v>
      </c>
      <c r="G44" s="32">
        <f t="shared" si="3"/>
        <v>1.4178339223494207E-2</v>
      </c>
      <c r="H44" s="32"/>
      <c r="I44" s="32"/>
    </row>
    <row r="45" spans="2:9" x14ac:dyDescent="0.25">
      <c r="B45" s="62">
        <v>44718</v>
      </c>
      <c r="C45" s="63">
        <v>3755.6499020000001</v>
      </c>
      <c r="D45" s="32">
        <f t="shared" si="2"/>
        <v>-1.6871336966730932E-2</v>
      </c>
      <c r="F45" s="63">
        <v>16201.799805000001</v>
      </c>
      <c r="G45" s="32">
        <f t="shared" si="3"/>
        <v>-2.3064039964724836E-2</v>
      </c>
      <c r="H45" s="32"/>
      <c r="I45" s="32"/>
    </row>
    <row r="46" spans="2:9" x14ac:dyDescent="0.25">
      <c r="B46" s="62">
        <v>44725</v>
      </c>
      <c r="C46" s="63">
        <v>3460.5500489999999</v>
      </c>
      <c r="D46" s="32">
        <f t="shared" si="2"/>
        <v>-7.857490998904082E-2</v>
      </c>
      <c r="F46" s="63">
        <v>15293.5</v>
      </c>
      <c r="G46" s="32">
        <f t="shared" si="3"/>
        <v>-5.606166079892505E-2</v>
      </c>
      <c r="H46" s="32"/>
      <c r="I46" s="32"/>
    </row>
    <row r="47" spans="2:9" x14ac:dyDescent="0.25">
      <c r="B47" s="62">
        <v>44732</v>
      </c>
      <c r="C47" s="63">
        <v>3412</v>
      </c>
      <c r="D47" s="32">
        <f t="shared" si="2"/>
        <v>-1.4029575735808097E-2</v>
      </c>
      <c r="F47" s="63">
        <v>15699.25</v>
      </c>
      <c r="G47" s="32">
        <f t="shared" si="3"/>
        <v>2.6530879131657192E-2</v>
      </c>
      <c r="H47" s="32"/>
      <c r="I47" s="32"/>
    </row>
    <row r="48" spans="2:9" x14ac:dyDescent="0.25">
      <c r="B48" s="62">
        <v>44739</v>
      </c>
      <c r="C48" s="63">
        <v>3388.75</v>
      </c>
      <c r="D48" s="32">
        <f t="shared" si="2"/>
        <v>-6.8141852286048854E-3</v>
      </c>
      <c r="F48" s="63">
        <v>15752.049805000001</v>
      </c>
      <c r="G48" s="32">
        <f t="shared" si="3"/>
        <v>3.3632055671448668E-3</v>
      </c>
      <c r="H48" s="32"/>
      <c r="I48" s="32"/>
    </row>
    <row r="49" spans="2:9" x14ac:dyDescent="0.25">
      <c r="B49" s="62">
        <v>44746</v>
      </c>
      <c r="C49" s="63">
        <v>3941.6999510000001</v>
      </c>
      <c r="D49" s="32">
        <f t="shared" si="2"/>
        <v>0.16317224669863517</v>
      </c>
      <c r="F49" s="63">
        <v>16220.599609000001</v>
      </c>
      <c r="G49" s="32">
        <f t="shared" si="3"/>
        <v>2.9745322659611828E-2</v>
      </c>
      <c r="H49" s="32"/>
      <c r="I49" s="32"/>
    </row>
    <row r="50" spans="2:9" x14ac:dyDescent="0.25">
      <c r="B50" s="62">
        <v>44753</v>
      </c>
      <c r="C50" s="63">
        <v>3926.8000489999999</v>
      </c>
      <c r="D50" s="32">
        <f t="shared" si="2"/>
        <v>-3.7800700675403309E-3</v>
      </c>
      <c r="F50" s="63">
        <v>16049.200194999999</v>
      </c>
      <c r="G50" s="32">
        <f t="shared" si="3"/>
        <v>-1.0566774233481513E-2</v>
      </c>
      <c r="H50" s="32"/>
      <c r="I50" s="32"/>
    </row>
    <row r="51" spans="2:9" x14ac:dyDescent="0.25">
      <c r="B51" s="62">
        <v>44760</v>
      </c>
      <c r="C51" s="63">
        <v>3963.3999020000001</v>
      </c>
      <c r="D51" s="32">
        <f t="shared" si="2"/>
        <v>9.3205288131033015E-3</v>
      </c>
      <c r="F51" s="63">
        <v>16719.449218999998</v>
      </c>
      <c r="G51" s="32">
        <f t="shared" si="3"/>
        <v>4.1762144895470144E-2</v>
      </c>
      <c r="H51" s="32"/>
      <c r="I51" s="32"/>
    </row>
    <row r="52" spans="2:9" x14ac:dyDescent="0.25">
      <c r="B52" s="62">
        <v>44767</v>
      </c>
      <c r="C52" s="63">
        <v>4243.8500979999999</v>
      </c>
      <c r="D52" s="32">
        <f t="shared" si="2"/>
        <v>7.0760004777332686E-2</v>
      </c>
      <c r="F52" s="63">
        <v>17158.25</v>
      </c>
      <c r="G52" s="32">
        <f t="shared" si="3"/>
        <v>2.6244930395275645E-2</v>
      </c>
      <c r="H52" s="32"/>
      <c r="I52" s="32"/>
    </row>
    <row r="53" spans="2:9" x14ac:dyDescent="0.25">
      <c r="B53" s="62">
        <v>44774</v>
      </c>
      <c r="C53" s="63">
        <v>4232.25</v>
      </c>
      <c r="D53" s="32">
        <f t="shared" si="2"/>
        <v>-2.7333901368162827E-3</v>
      </c>
      <c r="F53" s="63">
        <v>17397.5</v>
      </c>
      <c r="G53" s="32">
        <f t="shared" si="3"/>
        <v>1.3943729692713402E-2</v>
      </c>
      <c r="H53" s="32"/>
      <c r="I53" s="32"/>
    </row>
    <row r="54" spans="2:9" x14ac:dyDescent="0.25">
      <c r="B54" s="62">
        <v>44781</v>
      </c>
      <c r="C54" s="63">
        <v>4336.7001950000003</v>
      </c>
      <c r="D54" s="32">
        <f t="shared" si="2"/>
        <v>2.4679590052572697E-2</v>
      </c>
      <c r="F54" s="63">
        <v>17698.150390999999</v>
      </c>
      <c r="G54" s="32">
        <f t="shared" si="3"/>
        <v>1.7281241040379314E-2</v>
      </c>
      <c r="H54" s="32"/>
      <c r="I54" s="32"/>
    </row>
    <row r="55" spans="2:9" x14ac:dyDescent="0.25">
      <c r="B55" s="62">
        <v>44788</v>
      </c>
      <c r="C55" s="63">
        <v>4382</v>
      </c>
      <c r="D55" s="32">
        <f t="shared" si="2"/>
        <v>1.0445685189911957E-2</v>
      </c>
      <c r="F55" s="63">
        <v>17758.449218999998</v>
      </c>
      <c r="G55" s="32">
        <f t="shared" si="3"/>
        <v>3.4070694771959342E-3</v>
      </c>
      <c r="H55" s="32"/>
      <c r="I55" s="32"/>
    </row>
    <row r="56" spans="2:9" x14ac:dyDescent="0.25">
      <c r="B56" s="62">
        <v>44795</v>
      </c>
      <c r="C56" s="63">
        <v>4409.6499020000001</v>
      </c>
      <c r="D56" s="32">
        <f t="shared" si="2"/>
        <v>6.3098817891373837E-3</v>
      </c>
      <c r="F56" s="63">
        <v>17558.900390999999</v>
      </c>
      <c r="G56" s="32">
        <f t="shared" si="3"/>
        <v>-1.1236838619134604E-2</v>
      </c>
      <c r="H56" s="32"/>
      <c r="I56" s="32"/>
    </row>
    <row r="57" spans="2:9" x14ac:dyDescent="0.25">
      <c r="B57" s="62">
        <v>44802</v>
      </c>
      <c r="C57" s="63">
        <v>4576.7998049999997</v>
      </c>
      <c r="D57" s="32">
        <f t="shared" si="2"/>
        <v>3.7905481549496356E-2</v>
      </c>
      <c r="F57" s="63">
        <v>17539.449218999998</v>
      </c>
      <c r="G57" s="32">
        <f t="shared" si="3"/>
        <v>-1.1077670905844661E-3</v>
      </c>
      <c r="H57" s="32"/>
      <c r="I57" s="32"/>
    </row>
    <row r="58" spans="2:9" x14ac:dyDescent="0.25">
      <c r="B58" s="62">
        <v>44809</v>
      </c>
      <c r="C58" s="63">
        <v>4386.1000979999999</v>
      </c>
      <c r="D58" s="32">
        <f t="shared" si="2"/>
        <v>-4.1666604423393538E-2</v>
      </c>
      <c r="F58" s="63">
        <v>17833.349609000001</v>
      </c>
      <c r="G58" s="32">
        <f t="shared" si="3"/>
        <v>1.6756534730955508E-2</v>
      </c>
      <c r="H58" s="32"/>
      <c r="I58" s="32"/>
    </row>
    <row r="59" spans="2:9" x14ac:dyDescent="0.25">
      <c r="B59" s="62">
        <v>44816</v>
      </c>
      <c r="C59" s="63">
        <v>4327.5498049999997</v>
      </c>
      <c r="D59" s="32">
        <f t="shared" si="2"/>
        <v>-1.334905535482378E-2</v>
      </c>
      <c r="F59" s="63">
        <v>17530.849609000001</v>
      </c>
      <c r="G59" s="32">
        <f t="shared" si="3"/>
        <v>-1.6962601341440453E-2</v>
      </c>
      <c r="H59" s="32"/>
      <c r="I59" s="32"/>
    </row>
    <row r="60" spans="2:9" x14ac:dyDescent="0.25">
      <c r="B60" s="62">
        <v>44823</v>
      </c>
      <c r="C60" s="63">
        <v>4367</v>
      </c>
      <c r="D60" s="32">
        <f t="shared" si="2"/>
        <v>9.1160579953164511E-3</v>
      </c>
      <c r="F60" s="63">
        <v>17327.349609000001</v>
      </c>
      <c r="G60" s="32">
        <f t="shared" si="3"/>
        <v>-1.1608108251383698E-2</v>
      </c>
      <c r="H60" s="32"/>
      <c r="I60" s="32"/>
    </row>
    <row r="61" spans="2:9" x14ac:dyDescent="0.25">
      <c r="B61" s="62">
        <v>44830</v>
      </c>
      <c r="C61" s="63">
        <v>4386.5498049999997</v>
      </c>
      <c r="D61" s="32">
        <f t="shared" si="2"/>
        <v>4.4767128463474304E-3</v>
      </c>
      <c r="F61" s="63">
        <v>17094.349609000001</v>
      </c>
      <c r="G61" s="32">
        <f t="shared" si="3"/>
        <v>-1.3446949779265527E-2</v>
      </c>
      <c r="H61" s="32"/>
      <c r="I61" s="32"/>
    </row>
    <row r="62" spans="2:9" x14ac:dyDescent="0.25">
      <c r="B62" s="62">
        <v>44837</v>
      </c>
      <c r="C62" s="63">
        <v>4471.4501950000003</v>
      </c>
      <c r="D62" s="32">
        <f t="shared" si="2"/>
        <v>1.9354707862481613E-2</v>
      </c>
      <c r="F62" s="63">
        <v>17314.650390999999</v>
      </c>
      <c r="G62" s="32">
        <f t="shared" si="3"/>
        <v>1.2887345060733635E-2</v>
      </c>
      <c r="H62" s="32"/>
      <c r="I62" s="32"/>
    </row>
    <row r="63" spans="2:9" x14ac:dyDescent="0.25">
      <c r="B63" s="62">
        <v>44844</v>
      </c>
      <c r="C63" s="63">
        <v>4306.1499020000001</v>
      </c>
      <c r="D63" s="32">
        <f t="shared" si="2"/>
        <v>-3.6967937870545864E-2</v>
      </c>
      <c r="F63" s="63">
        <v>17185.699218999998</v>
      </c>
      <c r="G63" s="32">
        <f t="shared" si="3"/>
        <v>-7.4475180894804094E-3</v>
      </c>
      <c r="H63" s="32"/>
      <c r="I63" s="32"/>
    </row>
    <row r="64" spans="2:9" x14ac:dyDescent="0.25">
      <c r="B64" s="62">
        <v>44851</v>
      </c>
      <c r="C64" s="63">
        <v>4215.5498049999997</v>
      </c>
      <c r="D64" s="32">
        <f t="shared" si="2"/>
        <v>-2.1039698817247654E-2</v>
      </c>
      <c r="F64" s="63">
        <v>17576.300781000002</v>
      </c>
      <c r="G64" s="32">
        <f t="shared" si="3"/>
        <v>2.2728290366455628E-2</v>
      </c>
      <c r="H64" s="32"/>
      <c r="I64" s="32"/>
    </row>
    <row r="65" spans="2:9" x14ac:dyDescent="0.25">
      <c r="B65" s="62">
        <v>44858</v>
      </c>
      <c r="C65" s="63">
        <v>4307.3500979999999</v>
      </c>
      <c r="D65" s="32">
        <f t="shared" si="2"/>
        <v>2.1776588403988884E-2</v>
      </c>
      <c r="F65" s="63">
        <v>17786.800781000002</v>
      </c>
      <c r="G65" s="32">
        <f t="shared" si="3"/>
        <v>1.197635399068453E-2</v>
      </c>
      <c r="H65" s="32"/>
      <c r="I65" s="32"/>
    </row>
    <row r="66" spans="2:9" x14ac:dyDescent="0.25">
      <c r="B66" s="62">
        <v>44865</v>
      </c>
      <c r="C66" s="63">
        <v>4167.3500979999999</v>
      </c>
      <c r="D66" s="32">
        <f t="shared" si="2"/>
        <v>-3.2502582055033091E-2</v>
      </c>
      <c r="F66" s="63">
        <v>18117.150390999999</v>
      </c>
      <c r="G66" s="32">
        <f t="shared" si="3"/>
        <v>1.8572739081492262E-2</v>
      </c>
      <c r="H66" s="32"/>
      <c r="I66" s="32"/>
    </row>
    <row r="67" spans="2:9" x14ac:dyDescent="0.25">
      <c r="B67" s="62">
        <v>44872</v>
      </c>
      <c r="C67" s="63">
        <v>4128.3500979999999</v>
      </c>
      <c r="D67" s="32">
        <f t="shared" si="2"/>
        <v>-9.3584649916302887E-3</v>
      </c>
      <c r="F67" s="63">
        <v>18349.699218999998</v>
      </c>
      <c r="G67" s="32">
        <f t="shared" si="3"/>
        <v>1.2835839134808014E-2</v>
      </c>
      <c r="H67" s="32"/>
      <c r="I67" s="32"/>
    </row>
    <row r="68" spans="2:9" x14ac:dyDescent="0.25">
      <c r="B68" s="62">
        <v>44879</v>
      </c>
      <c r="C68" s="63">
        <v>3910.6000979999999</v>
      </c>
      <c r="D68" s="32">
        <f t="shared" si="2"/>
        <v>-5.2745042167206213E-2</v>
      </c>
      <c r="F68" s="63">
        <v>18307.650390999999</v>
      </c>
      <c r="G68" s="32">
        <f t="shared" si="3"/>
        <v>-2.2915268254892762E-3</v>
      </c>
      <c r="H68" s="32"/>
      <c r="I68" s="32"/>
    </row>
    <row r="69" spans="2:9" x14ac:dyDescent="0.25">
      <c r="B69" s="62">
        <v>44886</v>
      </c>
      <c r="C69" s="63">
        <v>3904.4499510000001</v>
      </c>
      <c r="D69" s="32">
        <f t="shared" si="2"/>
        <v>-1.5726862491373117E-3</v>
      </c>
      <c r="F69" s="63">
        <v>18512.75</v>
      </c>
      <c r="G69" s="32">
        <f t="shared" si="3"/>
        <v>1.1202945469224623E-2</v>
      </c>
      <c r="H69" s="32"/>
      <c r="I69" s="32"/>
    </row>
    <row r="70" spans="2:9" x14ac:dyDescent="0.25">
      <c r="B70" s="62">
        <v>44893</v>
      </c>
      <c r="C70" s="63">
        <v>4005.75</v>
      </c>
      <c r="D70" s="32">
        <f t="shared" si="2"/>
        <v>2.5944768218646219E-2</v>
      </c>
      <c r="F70" s="63">
        <v>18696.099609000001</v>
      </c>
      <c r="G70" s="32">
        <f t="shared" si="3"/>
        <v>9.9039639707769744E-3</v>
      </c>
      <c r="H70" s="32"/>
      <c r="I70" s="32"/>
    </row>
    <row r="71" spans="2:9" x14ac:dyDescent="0.25">
      <c r="B71" s="62">
        <v>44900</v>
      </c>
      <c r="C71" s="63">
        <v>4002.3999020000001</v>
      </c>
      <c r="D71" s="32">
        <f t="shared" si="2"/>
        <v>-8.3632228671282061E-4</v>
      </c>
      <c r="F71" s="63">
        <v>18496.599609000001</v>
      </c>
      <c r="G71" s="32">
        <f t="shared" si="3"/>
        <v>-1.0670674855838058E-2</v>
      </c>
      <c r="H71" s="32"/>
      <c r="I71" s="32"/>
    </row>
    <row r="72" spans="2:9" x14ac:dyDescent="0.25">
      <c r="B72" s="62">
        <v>44907</v>
      </c>
      <c r="C72" s="63">
        <v>3990</v>
      </c>
      <c r="D72" s="32">
        <f t="shared" ref="D72:D103" si="4">C72/C71-1</f>
        <v>-3.0981167058803383E-3</v>
      </c>
      <c r="F72" s="63">
        <v>18269</v>
      </c>
      <c r="G72" s="32">
        <f t="shared" ref="G72:G103" si="5">F72/F71-1</f>
        <v>-1.2304943276668867E-2</v>
      </c>
      <c r="H72" s="32"/>
      <c r="I72" s="32"/>
    </row>
    <row r="73" spans="2:9" x14ac:dyDescent="0.25">
      <c r="B73" s="62">
        <v>44914</v>
      </c>
      <c r="C73" s="63">
        <v>3875.6000979999999</v>
      </c>
      <c r="D73" s="32">
        <f t="shared" si="4"/>
        <v>-2.8671654636591493E-2</v>
      </c>
      <c r="F73" s="63">
        <v>17806.800781000002</v>
      </c>
      <c r="G73" s="32">
        <f t="shared" si="5"/>
        <v>-2.529964524604511E-2</v>
      </c>
      <c r="H73" s="32"/>
      <c r="I73" s="32"/>
    </row>
    <row r="74" spans="2:9" x14ac:dyDescent="0.25">
      <c r="B74" s="62">
        <v>44921</v>
      </c>
      <c r="C74" s="63">
        <v>4068.75</v>
      </c>
      <c r="D74" s="32">
        <f t="shared" si="4"/>
        <v>4.9837417978102261E-2</v>
      </c>
      <c r="F74" s="63">
        <v>18105.300781000002</v>
      </c>
      <c r="G74" s="32">
        <f t="shared" si="5"/>
        <v>1.6763258244484991E-2</v>
      </c>
      <c r="H74" s="32"/>
      <c r="I74" s="32"/>
    </row>
    <row r="75" spans="2:9" x14ac:dyDescent="0.25">
      <c r="B75" s="62">
        <v>44928</v>
      </c>
      <c r="C75" s="63">
        <v>3842.5</v>
      </c>
      <c r="D75" s="32">
        <f t="shared" si="4"/>
        <v>-5.5606758832565273E-2</v>
      </c>
      <c r="F75" s="63">
        <v>17859.449218999998</v>
      </c>
      <c r="G75" s="32">
        <f t="shared" si="5"/>
        <v>-1.3578982474458767E-2</v>
      </c>
      <c r="H75" s="32"/>
      <c r="I75" s="32"/>
    </row>
    <row r="76" spans="2:9" x14ac:dyDescent="0.25">
      <c r="B76" s="62">
        <v>44935</v>
      </c>
      <c r="C76" s="63">
        <v>3863.6999510000001</v>
      </c>
      <c r="D76" s="32">
        <f t="shared" si="4"/>
        <v>5.517228627195836E-3</v>
      </c>
      <c r="F76" s="63">
        <v>17956.599609000001</v>
      </c>
      <c r="G76" s="32">
        <f t="shared" si="5"/>
        <v>5.4397192661825855E-3</v>
      </c>
      <c r="H76" s="32"/>
      <c r="I76" s="32"/>
    </row>
    <row r="77" spans="2:9" x14ac:dyDescent="0.25">
      <c r="B77" s="62">
        <v>44942</v>
      </c>
      <c r="C77" s="63">
        <v>3513.75</v>
      </c>
      <c r="D77" s="32">
        <f t="shared" si="4"/>
        <v>-9.0573790780370089E-2</v>
      </c>
      <c r="F77" s="63">
        <v>18027.650390999999</v>
      </c>
      <c r="G77" s="32">
        <f t="shared" si="5"/>
        <v>3.9568060516528281E-3</v>
      </c>
      <c r="H77" s="32"/>
      <c r="I77" s="32"/>
    </row>
    <row r="78" spans="2:9" x14ac:dyDescent="0.25">
      <c r="B78" s="62">
        <v>44949</v>
      </c>
      <c r="C78" s="63">
        <v>3562.3500979999999</v>
      </c>
      <c r="D78" s="32">
        <f t="shared" si="4"/>
        <v>1.3831404624688792E-2</v>
      </c>
      <c r="F78" s="63">
        <v>17604.349609000001</v>
      </c>
      <c r="G78" s="32">
        <f t="shared" si="5"/>
        <v>-2.3480640727941093E-2</v>
      </c>
      <c r="H78" s="32"/>
      <c r="I78" s="32"/>
    </row>
    <row r="79" spans="2:9" x14ac:dyDescent="0.25">
      <c r="B79" s="62">
        <v>44956</v>
      </c>
      <c r="C79" s="63">
        <v>3470.3500979999999</v>
      </c>
      <c r="D79" s="32">
        <f t="shared" si="4"/>
        <v>-2.5825648088785957E-2</v>
      </c>
      <c r="F79" s="63">
        <v>17854.050781000002</v>
      </c>
      <c r="G79" s="32">
        <f t="shared" si="5"/>
        <v>1.4184061186352848E-2</v>
      </c>
      <c r="H79" s="32"/>
      <c r="I79" s="32"/>
    </row>
    <row r="80" spans="2:9" x14ac:dyDescent="0.25">
      <c r="B80" s="62">
        <v>44963</v>
      </c>
      <c r="C80" s="63">
        <v>3498.8500979999999</v>
      </c>
      <c r="D80" s="32">
        <f t="shared" si="4"/>
        <v>8.2124279093411801E-3</v>
      </c>
      <c r="F80" s="63">
        <v>17856.5</v>
      </c>
      <c r="G80" s="32">
        <f t="shared" si="5"/>
        <v>1.371800175793414E-4</v>
      </c>
      <c r="H80" s="32"/>
      <c r="I80" s="32"/>
    </row>
    <row r="81" spans="2:9" x14ac:dyDescent="0.25">
      <c r="B81" s="62">
        <v>44970</v>
      </c>
      <c r="C81" s="63">
        <v>3545</v>
      </c>
      <c r="D81" s="32">
        <f t="shared" si="4"/>
        <v>1.3190019780035867E-2</v>
      </c>
      <c r="F81" s="63">
        <v>17944.199218999998</v>
      </c>
      <c r="G81" s="32">
        <f t="shared" si="5"/>
        <v>4.9113330719905424E-3</v>
      </c>
      <c r="H81" s="32"/>
      <c r="I81" s="32"/>
    </row>
    <row r="82" spans="2:9" x14ac:dyDescent="0.25">
      <c r="B82" s="62">
        <v>44977</v>
      </c>
      <c r="C82" s="63">
        <v>3499.1999510000001</v>
      </c>
      <c r="D82" s="32">
        <f t="shared" si="4"/>
        <v>-1.2919618899858931E-2</v>
      </c>
      <c r="F82" s="63">
        <v>17465.800781000002</v>
      </c>
      <c r="G82" s="32">
        <f t="shared" si="5"/>
        <v>-2.6660339208308015E-2</v>
      </c>
      <c r="H82" s="32"/>
      <c r="I82" s="32"/>
    </row>
    <row r="83" spans="2:9" x14ac:dyDescent="0.25">
      <c r="B83" s="62">
        <v>44984</v>
      </c>
      <c r="C83" s="63">
        <v>3463.25</v>
      </c>
      <c r="D83" s="32">
        <f t="shared" si="4"/>
        <v>-1.0273763003947889E-2</v>
      </c>
      <c r="F83" s="63">
        <v>17594.349609000001</v>
      </c>
      <c r="G83" s="32">
        <f t="shared" si="5"/>
        <v>7.3600305884538031E-3</v>
      </c>
      <c r="H83" s="32"/>
      <c r="I83" s="32"/>
    </row>
    <row r="84" spans="2:9" x14ac:dyDescent="0.25">
      <c r="B84" s="62">
        <v>44991</v>
      </c>
      <c r="C84" s="63">
        <v>3391.8500979999999</v>
      </c>
      <c r="D84" s="32">
        <f t="shared" si="4"/>
        <v>-2.0616444669024792E-2</v>
      </c>
      <c r="F84" s="63">
        <v>17412.900390999999</v>
      </c>
      <c r="G84" s="32">
        <f t="shared" si="5"/>
        <v>-1.0312925571695164E-2</v>
      </c>
      <c r="H84" s="32"/>
      <c r="I84" s="32"/>
    </row>
    <row r="85" spans="2:9" x14ac:dyDescent="0.25">
      <c r="B85" s="62">
        <v>44998</v>
      </c>
      <c r="C85" s="63">
        <v>3311.3000489999999</v>
      </c>
      <c r="D85" s="32">
        <f t="shared" si="4"/>
        <v>-2.3748115828437166E-2</v>
      </c>
      <c r="F85" s="63">
        <v>17100.050781000002</v>
      </c>
      <c r="G85" s="32">
        <f t="shared" si="5"/>
        <v>-1.7966542217268788E-2</v>
      </c>
      <c r="H85" s="32"/>
      <c r="I85" s="32"/>
    </row>
    <row r="86" spans="2:9" x14ac:dyDescent="0.25">
      <c r="B86" s="62">
        <v>45005</v>
      </c>
      <c r="C86" s="63">
        <v>3358.3999020000001</v>
      </c>
      <c r="D86" s="32">
        <f t="shared" si="4"/>
        <v>1.4223976173413977E-2</v>
      </c>
      <c r="F86" s="63">
        <v>16945.050781000002</v>
      </c>
      <c r="G86" s="32">
        <f t="shared" si="5"/>
        <v>-9.0643005675878907E-3</v>
      </c>
      <c r="H86" s="32"/>
      <c r="I86" s="32"/>
    </row>
    <row r="87" spans="2:9" x14ac:dyDescent="0.25">
      <c r="B87" s="62">
        <v>45012</v>
      </c>
      <c r="C87" s="63">
        <v>3401.0500489999999</v>
      </c>
      <c r="D87" s="32">
        <f t="shared" si="4"/>
        <v>1.2699543903214261E-2</v>
      </c>
      <c r="F87" s="63">
        <v>17359.75</v>
      </c>
      <c r="G87" s="32">
        <f t="shared" si="5"/>
        <v>2.4473176525678486E-2</v>
      </c>
      <c r="H87" s="32"/>
      <c r="I87" s="32"/>
    </row>
    <row r="88" spans="2:9" x14ac:dyDescent="0.25">
      <c r="B88" s="62">
        <v>45019</v>
      </c>
      <c r="C88" s="63">
        <v>3496.1000979999999</v>
      </c>
      <c r="D88" s="32">
        <f t="shared" si="4"/>
        <v>2.7947265588739834E-2</v>
      </c>
      <c r="F88" s="63">
        <v>17599.150390999999</v>
      </c>
      <c r="G88" s="32">
        <f t="shared" si="5"/>
        <v>1.3790543700226143E-2</v>
      </c>
      <c r="H88" s="32"/>
      <c r="I88" s="32"/>
    </row>
    <row r="89" spans="2:9" x14ac:dyDescent="0.25">
      <c r="B89" s="62">
        <v>45026</v>
      </c>
      <c r="C89" s="63">
        <v>3501.0500489999999</v>
      </c>
      <c r="D89" s="32">
        <f t="shared" si="4"/>
        <v>1.4158493353297885E-3</v>
      </c>
      <c r="F89" s="63">
        <v>17828</v>
      </c>
      <c r="G89" s="32">
        <f t="shared" si="5"/>
        <v>1.3003446411653519E-2</v>
      </c>
      <c r="H89" s="32"/>
      <c r="I89" s="32"/>
    </row>
    <row r="90" spans="2:9" x14ac:dyDescent="0.25">
      <c r="B90" s="62">
        <v>45033</v>
      </c>
      <c r="C90" s="63">
        <v>3455.8999020000001</v>
      </c>
      <c r="D90" s="32">
        <f t="shared" si="4"/>
        <v>-1.2896172967563291E-2</v>
      </c>
      <c r="F90" s="63">
        <v>17624.050781000002</v>
      </c>
      <c r="G90" s="32">
        <f t="shared" si="5"/>
        <v>-1.1439826060130054E-2</v>
      </c>
      <c r="H90" s="32"/>
      <c r="I90" s="32"/>
    </row>
    <row r="91" spans="2:9" x14ac:dyDescent="0.25">
      <c r="B91" s="62">
        <v>45040</v>
      </c>
      <c r="C91" s="63">
        <v>3511.9499510000001</v>
      </c>
      <c r="D91" s="32">
        <f t="shared" si="4"/>
        <v>1.621865522423338E-2</v>
      </c>
      <c r="F91" s="63">
        <v>18065</v>
      </c>
      <c r="G91" s="32">
        <f t="shared" si="5"/>
        <v>2.5019742877464557E-2</v>
      </c>
      <c r="H91" s="32"/>
      <c r="I91" s="32"/>
    </row>
    <row r="92" spans="2:9" x14ac:dyDescent="0.25">
      <c r="B92" s="62">
        <v>45047</v>
      </c>
      <c r="C92" s="63">
        <v>3598.1999510000001</v>
      </c>
      <c r="D92" s="32">
        <f t="shared" si="4"/>
        <v>2.4559006023260999E-2</v>
      </c>
      <c r="F92" s="63">
        <v>18069</v>
      </c>
      <c r="G92" s="32">
        <f t="shared" si="5"/>
        <v>2.2142264046509652E-4</v>
      </c>
      <c r="H92" s="32"/>
      <c r="I92" s="32"/>
    </row>
    <row r="93" spans="2:9" x14ac:dyDescent="0.25">
      <c r="B93" s="62">
        <v>45054</v>
      </c>
      <c r="C93" s="63">
        <v>3677.5500489999999</v>
      </c>
      <c r="D93" s="32">
        <f t="shared" si="4"/>
        <v>2.20527205493255E-2</v>
      </c>
      <c r="F93" s="63">
        <v>18314.800781000002</v>
      </c>
      <c r="G93" s="32">
        <f t="shared" si="5"/>
        <v>1.3603452376999448E-2</v>
      </c>
      <c r="H93" s="32"/>
      <c r="I93" s="32"/>
    </row>
    <row r="94" spans="2:9" x14ac:dyDescent="0.25">
      <c r="B94" s="62">
        <v>45061</v>
      </c>
      <c r="C94" s="63">
        <v>3395.25</v>
      </c>
      <c r="D94" s="32">
        <f t="shared" si="4"/>
        <v>-7.6763074666179709E-2</v>
      </c>
      <c r="F94" s="63">
        <v>18203.400390999999</v>
      </c>
      <c r="G94" s="32">
        <f t="shared" si="5"/>
        <v>-6.0825335384249168E-3</v>
      </c>
      <c r="H94" s="32"/>
      <c r="I94" s="32"/>
    </row>
    <row r="95" spans="2:9" x14ac:dyDescent="0.25">
      <c r="B95" s="62">
        <v>45068</v>
      </c>
      <c r="C95" s="63">
        <v>3501.75</v>
      </c>
      <c r="D95" s="32">
        <f t="shared" si="4"/>
        <v>3.1367351446874414E-2</v>
      </c>
      <c r="F95" s="63">
        <v>18499.349609000001</v>
      </c>
      <c r="G95" s="32">
        <f t="shared" si="5"/>
        <v>1.6257908502980811E-2</v>
      </c>
      <c r="H95" s="32"/>
      <c r="I95" s="32"/>
    </row>
    <row r="96" spans="2:9" x14ac:dyDescent="0.25">
      <c r="B96" s="62">
        <v>45075</v>
      </c>
      <c r="C96" s="63">
        <v>3531.6000979999999</v>
      </c>
      <c r="D96" s="32">
        <f t="shared" si="4"/>
        <v>8.5243372599415057E-3</v>
      </c>
      <c r="F96" s="63">
        <v>18534.099609000001</v>
      </c>
      <c r="G96" s="32">
        <f t="shared" si="5"/>
        <v>1.8784444174779757E-3</v>
      </c>
      <c r="H96" s="32"/>
      <c r="I96" s="32"/>
    </row>
    <row r="97" spans="2:9" x14ac:dyDescent="0.25">
      <c r="B97" s="62">
        <v>45082</v>
      </c>
      <c r="C97" s="63">
        <v>3632.1000979999999</v>
      </c>
      <c r="D97" s="32">
        <f t="shared" si="4"/>
        <v>2.8457355649331495E-2</v>
      </c>
      <c r="F97" s="63">
        <v>18563.400390999999</v>
      </c>
      <c r="G97" s="32">
        <f t="shared" si="5"/>
        <v>1.5809120819534339E-3</v>
      </c>
      <c r="H97" s="32"/>
      <c r="I97" s="32"/>
    </row>
    <row r="98" spans="2:9" x14ac:dyDescent="0.25">
      <c r="B98" s="62">
        <v>45089</v>
      </c>
      <c r="C98" s="63">
        <v>4085.6000979999999</v>
      </c>
      <c r="D98" s="32">
        <f t="shared" si="4"/>
        <v>0.12485889368790182</v>
      </c>
      <c r="F98" s="63">
        <v>18826</v>
      </c>
      <c r="G98" s="32">
        <f t="shared" si="5"/>
        <v>1.4146094113625551E-2</v>
      </c>
      <c r="H98" s="32"/>
      <c r="I98" s="32"/>
    </row>
    <row r="99" spans="2:9" x14ac:dyDescent="0.25">
      <c r="B99" s="62">
        <v>45096</v>
      </c>
      <c r="C99" s="63">
        <v>3744.0500489999999</v>
      </c>
      <c r="D99" s="32">
        <f t="shared" si="4"/>
        <v>-8.359850225360943E-2</v>
      </c>
      <c r="F99" s="63">
        <v>18665.5</v>
      </c>
      <c r="G99" s="32">
        <f t="shared" si="5"/>
        <v>-8.5254435355359703E-3</v>
      </c>
      <c r="H99" s="32"/>
      <c r="I99" s="32"/>
    </row>
    <row r="100" spans="2:9" x14ac:dyDescent="0.25">
      <c r="B100" s="62">
        <v>45103</v>
      </c>
      <c r="C100" s="63">
        <v>3889.1999510000001</v>
      </c>
      <c r="D100" s="32">
        <f t="shared" si="4"/>
        <v>3.8768152161525737E-2</v>
      </c>
      <c r="F100" s="63">
        <v>19189.050781000002</v>
      </c>
      <c r="G100" s="32">
        <f t="shared" si="5"/>
        <v>2.804911633762841E-2</v>
      </c>
      <c r="H100" s="32"/>
      <c r="I100" s="32"/>
    </row>
    <row r="101" spans="2:9" x14ac:dyDescent="0.25">
      <c r="B101" s="62">
        <v>45110</v>
      </c>
      <c r="C101" s="63">
        <v>3808.9499510000001</v>
      </c>
      <c r="D101" s="32">
        <f t="shared" si="4"/>
        <v>-2.0634063820597848E-2</v>
      </c>
      <c r="F101" s="63">
        <v>19331.800781000002</v>
      </c>
      <c r="G101" s="32">
        <f t="shared" si="5"/>
        <v>7.4391381642151533E-3</v>
      </c>
      <c r="H101" s="32"/>
      <c r="I101" s="32"/>
    </row>
    <row r="102" spans="2:9" x14ac:dyDescent="0.25">
      <c r="B102" s="62">
        <v>45117</v>
      </c>
      <c r="C102" s="63">
        <v>3838.75</v>
      </c>
      <c r="D102" s="32">
        <f t="shared" si="4"/>
        <v>7.8236914066502905E-3</v>
      </c>
      <c r="F102" s="63">
        <v>19564.5</v>
      </c>
      <c r="G102" s="32">
        <f t="shared" si="5"/>
        <v>1.2037120681933855E-2</v>
      </c>
      <c r="H102" s="32"/>
      <c r="I102" s="32"/>
    </row>
    <row r="103" spans="2:9" x14ac:dyDescent="0.25">
      <c r="B103" s="62">
        <v>45124</v>
      </c>
      <c r="C103" s="63">
        <v>3675.6999510000001</v>
      </c>
      <c r="D103" s="32">
        <f t="shared" si="4"/>
        <v>-4.2474776685118787E-2</v>
      </c>
      <c r="F103" s="63">
        <v>19745</v>
      </c>
      <c r="G103" s="32">
        <f t="shared" si="5"/>
        <v>9.225893838329613E-3</v>
      </c>
      <c r="H103" s="32"/>
      <c r="I103" s="32"/>
    </row>
    <row r="104" spans="2:9" x14ac:dyDescent="0.25">
      <c r="B104" s="62">
        <v>45131</v>
      </c>
      <c r="C104" s="63">
        <v>3713.8999020000001</v>
      </c>
      <c r="D104" s="32">
        <f t="shared" ref="D104:D112" si="6">C104/C103-1</f>
        <v>1.039256509215547E-2</v>
      </c>
      <c r="F104" s="63">
        <v>19646.050781000002</v>
      </c>
      <c r="G104" s="32">
        <f t="shared" ref="G104:G112" si="7">F104/F103-1</f>
        <v>-5.0113557356291638E-3</v>
      </c>
      <c r="H104" s="32"/>
      <c r="I104" s="32"/>
    </row>
    <row r="105" spans="2:9" x14ac:dyDescent="0.25">
      <c r="B105" s="62">
        <v>45138</v>
      </c>
      <c r="C105" s="63">
        <v>3652.1000979999999</v>
      </c>
      <c r="D105" s="32">
        <f t="shared" si="6"/>
        <v>-1.6640137222524443E-2</v>
      </c>
      <c r="F105" s="63">
        <v>19517</v>
      </c>
      <c r="G105" s="32">
        <f t="shared" si="7"/>
        <v>-6.568789953694365E-3</v>
      </c>
      <c r="H105" s="32"/>
      <c r="I105" s="32"/>
    </row>
    <row r="106" spans="2:9" x14ac:dyDescent="0.25">
      <c r="B106" s="62">
        <v>45145</v>
      </c>
      <c r="C106" s="63">
        <v>3550.0500489999999</v>
      </c>
      <c r="D106" s="32">
        <f t="shared" si="6"/>
        <v>-2.7942840081487841E-2</v>
      </c>
      <c r="F106" s="63">
        <v>19428.300781000002</v>
      </c>
      <c r="G106" s="32">
        <f t="shared" si="7"/>
        <v>-4.5447158374749552E-3</v>
      </c>
      <c r="H106" s="32"/>
      <c r="I106" s="32"/>
    </row>
    <row r="107" spans="2:9" x14ac:dyDescent="0.25">
      <c r="B107" s="62">
        <v>45152</v>
      </c>
      <c r="C107" s="63">
        <v>3540.9499510000001</v>
      </c>
      <c r="D107" s="32">
        <f t="shared" si="6"/>
        <v>-2.5633717481147178E-3</v>
      </c>
      <c r="F107" s="63">
        <v>19310.150390999999</v>
      </c>
      <c r="G107" s="32">
        <f t="shared" si="7"/>
        <v>-6.0813547891717112E-3</v>
      </c>
      <c r="H107" s="32"/>
      <c r="I107" s="32"/>
    </row>
    <row r="108" spans="2:9" x14ac:dyDescent="0.25">
      <c r="B108" s="62">
        <v>45159</v>
      </c>
      <c r="C108" s="63">
        <v>3534.6000979999999</v>
      </c>
      <c r="D108" s="32">
        <f t="shared" si="6"/>
        <v>-1.7932625673533487E-3</v>
      </c>
      <c r="F108" s="63">
        <v>19265.800781000002</v>
      </c>
      <c r="G108" s="32">
        <f t="shared" si="7"/>
        <v>-2.2966993576947203E-3</v>
      </c>
      <c r="H108" s="32"/>
      <c r="I108" s="32"/>
    </row>
    <row r="109" spans="2:9" x14ac:dyDescent="0.25">
      <c r="B109" s="62">
        <v>45166</v>
      </c>
      <c r="C109" s="63">
        <v>3761.0500489999999</v>
      </c>
      <c r="D109" s="32">
        <f t="shared" si="6"/>
        <v>6.406663971070814E-2</v>
      </c>
      <c r="F109" s="63">
        <v>19435.300781000002</v>
      </c>
      <c r="G109" s="32">
        <f t="shared" si="7"/>
        <v>8.797973254616176E-3</v>
      </c>
      <c r="H109" s="32"/>
      <c r="I109" s="32"/>
    </row>
    <row r="110" spans="2:9" x14ac:dyDescent="0.25">
      <c r="B110" s="62">
        <v>45173</v>
      </c>
      <c r="C110" s="63">
        <v>3782.3999020000001</v>
      </c>
      <c r="D110" s="32">
        <f t="shared" si="6"/>
        <v>5.6765671080811764E-3</v>
      </c>
      <c r="F110" s="63">
        <v>19819.949218999998</v>
      </c>
      <c r="G110" s="32">
        <f t="shared" si="7"/>
        <v>1.9791226404688889E-2</v>
      </c>
      <c r="H110" s="32"/>
      <c r="I110" s="32"/>
    </row>
    <row r="111" spans="2:9" x14ac:dyDescent="0.25">
      <c r="B111" s="62">
        <v>45180</v>
      </c>
      <c r="C111" s="63">
        <v>3796</v>
      </c>
      <c r="D111" s="32">
        <f t="shared" si="6"/>
        <v>3.5956266794552327E-3</v>
      </c>
      <c r="F111" s="63">
        <v>20192.349609000001</v>
      </c>
      <c r="G111" s="32">
        <f t="shared" si="7"/>
        <v>1.8789169734249711E-2</v>
      </c>
      <c r="H111" s="32"/>
      <c r="I111" s="32"/>
    </row>
    <row r="112" spans="2:9" x14ac:dyDescent="0.25">
      <c r="B112" s="62">
        <v>45184</v>
      </c>
      <c r="C112" s="63">
        <v>3796</v>
      </c>
      <c r="D112" s="32">
        <f t="shared" si="6"/>
        <v>0</v>
      </c>
      <c r="F112" s="63">
        <v>20192.349609000001</v>
      </c>
      <c r="G112" s="32">
        <f t="shared" si="7"/>
        <v>0</v>
      </c>
      <c r="H112" s="32"/>
      <c r="I112" s="32"/>
    </row>
  </sheetData>
  <mergeCells count="3">
    <mergeCell ref="B4:D4"/>
    <mergeCell ref="I4:J4"/>
    <mergeCell ref="F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54EE-0DED-4405-8F9D-EBFE606CBEC5}">
  <dimension ref="B2:F27"/>
  <sheetViews>
    <sheetView showGridLines="0" workbookViewId="0">
      <selection activeCell="C6" sqref="C6"/>
    </sheetView>
  </sheetViews>
  <sheetFormatPr defaultRowHeight="15" x14ac:dyDescent="0.25"/>
  <cols>
    <col min="5" max="5" width="19.7109375" bestFit="1" customWidth="1"/>
  </cols>
  <sheetData>
    <row r="2" spans="2:6" x14ac:dyDescent="0.25">
      <c r="B2" s="54" t="s">
        <v>298</v>
      </c>
      <c r="C2" s="54"/>
      <c r="D2" s="54"/>
      <c r="E2" s="54"/>
      <c r="F2" s="54"/>
    </row>
    <row r="4" spans="2:6" x14ac:dyDescent="0.25">
      <c r="B4" s="11" t="s">
        <v>152</v>
      </c>
      <c r="C4" s="11" t="s">
        <v>297</v>
      </c>
    </row>
    <row r="5" spans="2:6" x14ac:dyDescent="0.25">
      <c r="B5" s="55">
        <v>2000</v>
      </c>
      <c r="C5" s="140">
        <v>-0.14649999999999999</v>
      </c>
    </row>
    <row r="6" spans="2:6" x14ac:dyDescent="0.25">
      <c r="B6" s="55">
        <v>2001</v>
      </c>
      <c r="C6" s="140">
        <v>-0.1618</v>
      </c>
    </row>
    <row r="7" spans="2:6" x14ac:dyDescent="0.25">
      <c r="B7" s="55">
        <v>2002</v>
      </c>
      <c r="C7" s="140">
        <v>3.2500000000000001E-2</v>
      </c>
    </row>
    <row r="8" spans="2:6" x14ac:dyDescent="0.25">
      <c r="B8" s="55">
        <v>2003</v>
      </c>
      <c r="C8" s="140">
        <v>0.71899999999999997</v>
      </c>
    </row>
    <row r="9" spans="2:6" x14ac:dyDescent="0.25">
      <c r="B9" s="55">
        <v>2004</v>
      </c>
      <c r="C9" s="140">
        <v>0.10680000000000001</v>
      </c>
      <c r="E9" t="s">
        <v>236</v>
      </c>
      <c r="F9" s="32">
        <f>AVERAGE(C5:C27)</f>
        <v>0.15443478260869564</v>
      </c>
    </row>
    <row r="10" spans="2:6" ht="17.25" x14ac:dyDescent="0.25">
      <c r="B10" s="55">
        <v>2005</v>
      </c>
      <c r="C10" s="140">
        <v>0.3634</v>
      </c>
      <c r="E10" t="s">
        <v>296</v>
      </c>
      <c r="F10" s="140" t="s">
        <v>295</v>
      </c>
    </row>
    <row r="11" spans="2:6" x14ac:dyDescent="0.25">
      <c r="B11" s="55">
        <v>2006</v>
      </c>
      <c r="C11" s="140">
        <v>0.39829999999999999</v>
      </c>
      <c r="E11" s="11" t="s">
        <v>294</v>
      </c>
      <c r="F11" s="90">
        <f>SUM(F9:F10)</f>
        <v>0.15443478260869564</v>
      </c>
    </row>
    <row r="12" spans="2:6" x14ac:dyDescent="0.25">
      <c r="B12" s="55">
        <v>2007</v>
      </c>
      <c r="C12" s="140">
        <v>0.54769999999999996</v>
      </c>
    </row>
    <row r="13" spans="2:6" x14ac:dyDescent="0.25">
      <c r="B13" s="55">
        <v>2008</v>
      </c>
      <c r="C13" s="140">
        <v>-0.51790000000000003</v>
      </c>
    </row>
    <row r="14" spans="2:6" x14ac:dyDescent="0.25">
      <c r="B14" s="55">
        <v>2009</v>
      </c>
      <c r="C14" s="140">
        <v>0.75760000000000005</v>
      </c>
    </row>
    <row r="15" spans="2:6" x14ac:dyDescent="0.25">
      <c r="B15" s="55">
        <v>2010</v>
      </c>
      <c r="C15" s="140">
        <v>0.17949999999999999</v>
      </c>
    </row>
    <row r="16" spans="2:6" x14ac:dyDescent="0.25">
      <c r="B16" s="55">
        <v>2011</v>
      </c>
      <c r="C16" s="140">
        <v>-0.2462</v>
      </c>
    </row>
    <row r="17" spans="2:3" x14ac:dyDescent="0.25">
      <c r="B17" s="55">
        <v>2012</v>
      </c>
      <c r="C17" s="140">
        <v>0.27700000000000002</v>
      </c>
    </row>
    <row r="18" spans="2:3" x14ac:dyDescent="0.25">
      <c r="B18" s="55">
        <v>2013</v>
      </c>
      <c r="C18" s="140">
        <v>6.7599999999999993E-2</v>
      </c>
    </row>
    <row r="19" spans="2:3" x14ac:dyDescent="0.25">
      <c r="B19" s="55">
        <v>2014</v>
      </c>
      <c r="C19" s="140">
        <v>0.31390000000000001</v>
      </c>
    </row>
    <row r="20" spans="2:3" x14ac:dyDescent="0.25">
      <c r="B20" s="55">
        <v>2015</v>
      </c>
      <c r="C20" s="140">
        <v>-4.0599999999999997E-2</v>
      </c>
    </row>
    <row r="21" spans="2:3" x14ac:dyDescent="0.25">
      <c r="B21" s="55">
        <v>2016</v>
      </c>
      <c r="C21" s="140">
        <v>3.0099999999999998E-2</v>
      </c>
    </row>
    <row r="22" spans="2:3" x14ac:dyDescent="0.25">
      <c r="B22" s="55">
        <v>2017</v>
      </c>
      <c r="C22" s="140">
        <v>0.28649999999999998</v>
      </c>
    </row>
    <row r="23" spans="2:3" x14ac:dyDescent="0.25">
      <c r="B23" s="55">
        <v>2018</v>
      </c>
      <c r="C23" s="140">
        <v>3.15E-2</v>
      </c>
    </row>
    <row r="24" spans="2:3" x14ac:dyDescent="0.25">
      <c r="B24" s="55">
        <v>2019</v>
      </c>
      <c r="C24" s="140">
        <v>0.1202</v>
      </c>
    </row>
    <row r="25" spans="2:3" x14ac:dyDescent="0.25">
      <c r="B25" s="55">
        <v>2020</v>
      </c>
      <c r="C25" s="140">
        <v>0.14899999999999999</v>
      </c>
    </row>
    <row r="26" spans="2:3" x14ac:dyDescent="0.25">
      <c r="B26" s="55">
        <v>2021</v>
      </c>
      <c r="C26" s="140">
        <v>0.2412</v>
      </c>
    </row>
    <row r="27" spans="2:3" x14ac:dyDescent="0.25">
      <c r="B27" s="55">
        <v>2022</v>
      </c>
      <c r="C27" s="140">
        <v>4.3200000000000002E-2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7F1B-B207-457C-B545-7104B72AC8DD}">
  <dimension ref="A1:R65"/>
  <sheetViews>
    <sheetView showGridLines="0" topLeftCell="A30" workbookViewId="0">
      <selection activeCell="J45" sqref="J45"/>
    </sheetView>
  </sheetViews>
  <sheetFormatPr defaultRowHeight="15" x14ac:dyDescent="0.25"/>
  <cols>
    <col min="1" max="1" width="1.85546875" customWidth="1"/>
    <col min="7" max="7" width="12.28515625" bestFit="1" customWidth="1"/>
    <col min="8" max="8" width="20.42578125" bestFit="1" customWidth="1"/>
    <col min="9" max="9" width="21.140625" bestFit="1" customWidth="1"/>
    <col min="10" max="11" width="20.42578125" bestFit="1" customWidth="1"/>
  </cols>
  <sheetData>
    <row r="1" spans="2:18" x14ac:dyDescent="0.25"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</row>
    <row r="2" spans="2:18" x14ac:dyDescent="0.25">
      <c r="B2" s="64"/>
      <c r="C2" s="70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2:18" x14ac:dyDescent="0.25">
      <c r="B3" s="64"/>
      <c r="C3" s="70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</row>
    <row r="4" spans="2:18" x14ac:dyDescent="0.25">
      <c r="B4" s="64"/>
      <c r="C4" s="70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</row>
    <row r="5" spans="2:18" s="41" customFormat="1" x14ac:dyDescent="0.25"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</row>
    <row r="7" spans="2:18" x14ac:dyDescent="0.25">
      <c r="B7" s="54" t="s">
        <v>188</v>
      </c>
      <c r="C7" s="54"/>
      <c r="D7" s="54"/>
      <c r="E7" s="54"/>
      <c r="F7" s="54"/>
      <c r="G7" s="65">
        <f>'RAW FS'!J2</f>
        <v>43525</v>
      </c>
      <c r="H7" s="65">
        <f>'RAW FS'!K2</f>
        <v>43891</v>
      </c>
      <c r="I7" s="65">
        <f>'RAW FS'!L2</f>
        <v>44256</v>
      </c>
      <c r="J7" s="65">
        <f>'RAW FS'!M2</f>
        <v>44621</v>
      </c>
      <c r="K7" s="65">
        <f>'RAW FS'!N2</f>
        <v>44986</v>
      </c>
      <c r="L7" s="54"/>
      <c r="M7" s="54"/>
      <c r="N7" s="54"/>
      <c r="O7" s="54"/>
      <c r="P7" s="54"/>
      <c r="Q7" s="54"/>
      <c r="R7" s="54"/>
    </row>
    <row r="9" spans="2:18" x14ac:dyDescent="0.25">
      <c r="B9" s="73" t="s">
        <v>189</v>
      </c>
      <c r="C9" s="72"/>
      <c r="D9" s="72"/>
      <c r="E9" s="72"/>
      <c r="F9" s="72"/>
    </row>
    <row r="10" spans="2:18" x14ac:dyDescent="0.25">
      <c r="B10" s="35" t="str">
        <f>'RAW FS'!B35</f>
        <v>Inventories</v>
      </c>
      <c r="C10" s="35"/>
      <c r="D10" s="35"/>
      <c r="E10" s="35"/>
      <c r="F10" s="35"/>
      <c r="G10" s="69">
        <f>'RAW FS'!J35</f>
        <v>67561</v>
      </c>
      <c r="H10" s="69">
        <f>'RAW FS'!K35</f>
        <v>73903</v>
      </c>
      <c r="I10" s="69">
        <f>'RAW FS'!L35</f>
        <v>81672</v>
      </c>
      <c r="J10" s="69">
        <f>'RAW FS'!M35</f>
        <v>107778</v>
      </c>
      <c r="K10" s="69">
        <f>'RAW FS'!N35</f>
        <v>140008</v>
      </c>
    </row>
    <row r="11" spans="2:18" x14ac:dyDescent="0.25">
      <c r="B11" s="35" t="str">
        <f>'RAW FS'!B36</f>
        <v>Trade receivables</v>
      </c>
      <c r="C11" s="35"/>
      <c r="D11" s="35"/>
      <c r="E11" s="35"/>
      <c r="F11" s="35"/>
      <c r="G11" s="69">
        <f>'RAW FS'!J36</f>
        <v>30089</v>
      </c>
      <c r="H11" s="69">
        <f>'RAW FS'!K36</f>
        <v>19656</v>
      </c>
      <c r="I11" s="69">
        <f>'RAW FS'!L36</f>
        <v>19014</v>
      </c>
      <c r="J11" s="69">
        <f>'RAW FS'!M36</f>
        <v>23640</v>
      </c>
      <c r="K11" s="69">
        <f>'RAW FS'!N36</f>
        <v>28448</v>
      </c>
    </row>
    <row r="12" spans="2:18" x14ac:dyDescent="0.25">
      <c r="B12" s="35" t="str">
        <f>'RAW FS'!B38</f>
        <v>Short term loans</v>
      </c>
      <c r="C12" s="35"/>
      <c r="D12" s="35"/>
      <c r="E12" s="35"/>
      <c r="F12" s="35"/>
      <c r="G12" s="35">
        <f>'RAW FS'!J38</f>
        <v>545</v>
      </c>
      <c r="H12" s="35">
        <f>'RAW FS'!K38</f>
        <v>669</v>
      </c>
      <c r="I12" s="35">
        <f>'RAW FS'!L38</f>
        <v>65</v>
      </c>
      <c r="J12" s="35">
        <f>'RAW FS'!M38</f>
        <v>130</v>
      </c>
      <c r="K12" s="35">
        <f>'RAW FS'!N38</f>
        <v>176</v>
      </c>
    </row>
    <row r="13" spans="2:18" x14ac:dyDescent="0.25">
      <c r="B13" t="str">
        <f>'RAW FS'!B39</f>
        <v>Other asset items</v>
      </c>
      <c r="G13">
        <f>'RAW FS'!J39</f>
        <v>74882</v>
      </c>
      <c r="H13">
        <f>'RAW FS'!K39</f>
        <v>119336</v>
      </c>
      <c r="I13">
        <f>'RAW FS'!L39</f>
        <v>169878</v>
      </c>
      <c r="J13">
        <f>'RAW FS'!M39</f>
        <v>136328</v>
      </c>
      <c r="K13">
        <f>'RAW FS'!N39</f>
        <v>114469</v>
      </c>
    </row>
    <row r="14" spans="2:18" x14ac:dyDescent="0.25">
      <c r="B14" s="74" t="s">
        <v>86</v>
      </c>
      <c r="C14" s="71"/>
      <c r="D14" s="71"/>
      <c r="E14" s="71"/>
      <c r="F14" s="71"/>
      <c r="G14" s="78">
        <f>SUM(G10:G13)</f>
        <v>173077</v>
      </c>
      <c r="H14" s="78">
        <f t="shared" ref="H14:K14" si="0">SUM(H10:H13)</f>
        <v>213564</v>
      </c>
      <c r="I14" s="78">
        <f t="shared" si="0"/>
        <v>270629</v>
      </c>
      <c r="J14" s="78">
        <f t="shared" si="0"/>
        <v>267876</v>
      </c>
      <c r="K14" s="78">
        <f t="shared" si="0"/>
        <v>283101</v>
      </c>
    </row>
    <row r="16" spans="2:18" x14ac:dyDescent="0.25">
      <c r="B16" s="73" t="s">
        <v>190</v>
      </c>
      <c r="C16" s="72"/>
      <c r="D16" s="72"/>
      <c r="E16" s="72"/>
      <c r="F16" s="72"/>
    </row>
    <row r="17" spans="1:11" x14ac:dyDescent="0.25">
      <c r="B17" s="35" t="str">
        <f>'RAW FS'!B13</f>
        <v>Trade Payables</v>
      </c>
      <c r="C17" s="35"/>
      <c r="D17" s="35"/>
      <c r="E17" s="35"/>
      <c r="F17" s="35"/>
      <c r="G17" s="69">
        <f>'RAW FS'!J13</f>
        <v>108309</v>
      </c>
      <c r="H17" s="69">
        <f>'RAW FS'!K13</f>
        <v>96799</v>
      </c>
      <c r="I17" s="69">
        <f>'RAW FS'!L13</f>
        <v>108897</v>
      </c>
      <c r="J17" s="69">
        <f>'RAW FS'!M13</f>
        <v>159330</v>
      </c>
      <c r="K17" s="69">
        <f>'RAW FS'!N13</f>
        <v>147172</v>
      </c>
    </row>
    <row r="18" spans="1:11" x14ac:dyDescent="0.25">
      <c r="B18" s="35" t="str">
        <f>'RAW FS'!B14</f>
        <v>Other liability items</v>
      </c>
      <c r="C18" s="35"/>
      <c r="D18" s="35"/>
      <c r="E18" s="35"/>
      <c r="F18" s="35"/>
      <c r="G18" s="69">
        <f>'RAW FS'!J14</f>
        <v>186215</v>
      </c>
      <c r="H18" s="69">
        <f>'RAW FS'!K14</f>
        <v>249736</v>
      </c>
      <c r="I18" s="69">
        <f>'RAW FS'!L14</f>
        <v>132774</v>
      </c>
      <c r="J18" s="69">
        <f>'RAW FS'!M14</f>
        <v>131150</v>
      </c>
      <c r="K18" s="69">
        <f>'RAW FS'!N14</f>
        <v>178165</v>
      </c>
    </row>
    <row r="19" spans="1:11" x14ac:dyDescent="0.25">
      <c r="B19" s="74" t="s">
        <v>191</v>
      </c>
      <c r="C19" s="71"/>
      <c r="D19" s="71"/>
      <c r="E19" s="71"/>
      <c r="F19" s="71"/>
      <c r="G19" s="78">
        <f>SUM(G17:G18)</f>
        <v>294524</v>
      </c>
      <c r="H19" s="78">
        <f t="shared" ref="H19:K19" si="1">SUM(H17:H18)</f>
        <v>346535</v>
      </c>
      <c r="I19" s="78">
        <f t="shared" si="1"/>
        <v>241671</v>
      </c>
      <c r="J19" s="78">
        <f t="shared" si="1"/>
        <v>290480</v>
      </c>
      <c r="K19" s="78">
        <f t="shared" si="1"/>
        <v>325337</v>
      </c>
    </row>
    <row r="21" spans="1:11" x14ac:dyDescent="0.25">
      <c r="A21" s="11" t="s">
        <v>57</v>
      </c>
      <c r="B21" s="77" t="s">
        <v>192</v>
      </c>
      <c r="C21" s="77"/>
      <c r="D21" s="75"/>
      <c r="E21" s="75"/>
      <c r="F21" s="75"/>
      <c r="G21" s="82">
        <f>G14-G19</f>
        <v>-121447</v>
      </c>
      <c r="H21" s="82">
        <f t="shared" ref="H21:K21" si="2">H14-H19</f>
        <v>-132971</v>
      </c>
      <c r="I21" s="82">
        <f t="shared" si="2"/>
        <v>28958</v>
      </c>
      <c r="J21" s="82">
        <f t="shared" si="2"/>
        <v>-22604</v>
      </c>
      <c r="K21" s="82">
        <f t="shared" si="2"/>
        <v>-42236</v>
      </c>
    </row>
    <row r="23" spans="1:11" x14ac:dyDescent="0.25">
      <c r="B23" s="73" t="s">
        <v>193</v>
      </c>
      <c r="C23" s="72"/>
      <c r="D23" s="72"/>
      <c r="E23" s="72"/>
      <c r="F23" s="72"/>
    </row>
    <row r="24" spans="1:11" x14ac:dyDescent="0.25">
      <c r="B24" s="35" t="str">
        <f>'RAW FS'!B18</f>
        <v>Land</v>
      </c>
      <c r="C24" s="35"/>
      <c r="D24" s="35"/>
      <c r="E24" s="35"/>
      <c r="F24" s="35"/>
      <c r="G24" s="69">
        <f>'RAW FS'!J18</f>
        <v>49371</v>
      </c>
      <c r="H24" s="69">
        <f>'RAW FS'!K18</f>
        <v>68743</v>
      </c>
      <c r="I24" s="69">
        <f>'RAW FS'!L18</f>
        <v>68768</v>
      </c>
      <c r="J24" s="69">
        <f>'RAW FS'!M18</f>
        <v>69855</v>
      </c>
      <c r="K24" s="69">
        <f>'RAW FS'!N18</f>
        <v>79697</v>
      </c>
    </row>
    <row r="25" spans="1:11" x14ac:dyDescent="0.25">
      <c r="B25" s="35" t="str">
        <f>'RAW FS'!B19</f>
        <v>Building</v>
      </c>
      <c r="C25" s="35"/>
      <c r="D25" s="35"/>
      <c r="E25" s="35"/>
      <c r="F25" s="35"/>
      <c r="G25" s="69">
        <f>'RAW FS'!J19</f>
        <v>27672</v>
      </c>
      <c r="H25" s="69">
        <f>'RAW FS'!K19</f>
        <v>34380</v>
      </c>
      <c r="I25" s="69">
        <f>'RAW FS'!L19</f>
        <v>36781</v>
      </c>
      <c r="J25" s="69">
        <f>'RAW FS'!M19</f>
        <v>47561</v>
      </c>
      <c r="K25" s="69">
        <f>'RAW FS'!N19</f>
        <v>69747</v>
      </c>
    </row>
    <row r="26" spans="1:11" x14ac:dyDescent="0.25">
      <c r="B26" s="42" t="str">
        <f>'RAW FS'!B20</f>
        <v>Plant Machinery</v>
      </c>
      <c r="G26" s="80">
        <f>'RAW FS'!J20</f>
        <v>318853</v>
      </c>
      <c r="H26" s="69">
        <f>'RAW FS'!K20</f>
        <v>449770</v>
      </c>
      <c r="I26" s="69">
        <f>'RAW FS'!L20</f>
        <v>471201</v>
      </c>
      <c r="J26" s="69">
        <f>'RAW FS'!M20</f>
        <v>518865</v>
      </c>
      <c r="K26" s="69">
        <f>'RAW FS'!N20</f>
        <v>557687</v>
      </c>
    </row>
    <row r="27" spans="1:11" x14ac:dyDescent="0.25">
      <c r="B27" s="44" t="str">
        <f>'RAW FS'!B21</f>
        <v>Ships Vessels</v>
      </c>
      <c r="C27" s="44"/>
      <c r="D27" s="44"/>
      <c r="E27" s="44"/>
      <c r="F27" s="44"/>
      <c r="G27" s="81">
        <f>'RAW FS'!J21</f>
        <v>417</v>
      </c>
      <c r="H27" s="69">
        <f>'RAW FS'!K21</f>
        <v>502</v>
      </c>
      <c r="I27" s="69">
        <f>'RAW FS'!L21</f>
        <v>515</v>
      </c>
      <c r="J27" s="69">
        <f>'RAW FS'!M21</f>
        <v>508</v>
      </c>
      <c r="K27" s="69">
        <f>'RAW FS'!N21</f>
        <v>508</v>
      </c>
    </row>
    <row r="28" spans="1:11" x14ac:dyDescent="0.25">
      <c r="B28" s="44" t="str">
        <f>'RAW FS'!B22</f>
        <v>Equipments</v>
      </c>
      <c r="C28" s="44"/>
      <c r="D28" s="44"/>
      <c r="E28" s="44"/>
      <c r="F28" s="44"/>
      <c r="G28" s="81">
        <f>'RAW FS'!J22</f>
        <v>0</v>
      </c>
      <c r="H28" s="69">
        <f>'RAW FS'!K22</f>
        <v>0</v>
      </c>
      <c r="I28" s="69">
        <f>'RAW FS'!L22</f>
        <v>0</v>
      </c>
      <c r="J28" s="69">
        <f>'RAW FS'!M22</f>
        <v>32638</v>
      </c>
      <c r="K28" s="69">
        <f>'RAW FS'!N22</f>
        <v>45067</v>
      </c>
    </row>
    <row r="29" spans="1:11" x14ac:dyDescent="0.25">
      <c r="B29" s="44" t="str">
        <f>'RAW FS'!B23</f>
        <v>Furniture n fittings</v>
      </c>
      <c r="C29" s="44"/>
      <c r="D29" s="44"/>
      <c r="E29" s="44"/>
      <c r="F29" s="44"/>
      <c r="G29" s="81">
        <f>'RAW FS'!J23</f>
        <v>21817</v>
      </c>
      <c r="H29" s="69">
        <f>'RAW FS'!K23</f>
        <v>31211</v>
      </c>
      <c r="I29" s="69">
        <f>'RAW FS'!L23</f>
        <v>38039</v>
      </c>
      <c r="J29" s="69">
        <f>'RAW FS'!M23</f>
        <v>24970</v>
      </c>
      <c r="K29" s="69">
        <f>'RAW FS'!N23</f>
        <v>38161</v>
      </c>
    </row>
    <row r="30" spans="1:11" x14ac:dyDescent="0.25">
      <c r="B30" s="35" t="str">
        <f>'RAW FS'!B24</f>
        <v>Vehicles</v>
      </c>
      <c r="C30" s="35"/>
      <c r="D30" s="35"/>
      <c r="E30" s="35"/>
      <c r="F30" s="35"/>
      <c r="G30" s="69">
        <f>'RAW FS'!J24</f>
        <v>1240</v>
      </c>
      <c r="H30" s="69">
        <f>'RAW FS'!K24</f>
        <v>1411</v>
      </c>
      <c r="I30" s="69">
        <f>'RAW FS'!L24</f>
        <v>2336</v>
      </c>
      <c r="J30" s="69">
        <f>'RAW FS'!M24</f>
        <v>2530</v>
      </c>
      <c r="K30" s="69">
        <f>'RAW FS'!N24</f>
        <v>3667</v>
      </c>
    </row>
    <row r="31" spans="1:11" x14ac:dyDescent="0.25">
      <c r="B31" s="38" t="str">
        <f>'RAW FS'!B25</f>
        <v>Intangible Assets</v>
      </c>
      <c r="C31" s="38"/>
      <c r="D31" s="38"/>
      <c r="E31" s="38"/>
      <c r="F31" s="38"/>
      <c r="G31" s="79">
        <f>'RAW FS'!J25</f>
        <v>86765</v>
      </c>
      <c r="H31" s="69">
        <f>'RAW FS'!K25</f>
        <v>81462</v>
      </c>
      <c r="I31" s="69">
        <f>'RAW FS'!L25</f>
        <v>77353</v>
      </c>
      <c r="J31" s="69">
        <f>'RAW FS'!M25</f>
        <v>65970</v>
      </c>
      <c r="K31" s="69">
        <f>'RAW FS'!N25</f>
        <v>85032</v>
      </c>
    </row>
    <row r="32" spans="1:11" x14ac:dyDescent="0.25">
      <c r="B32" s="38" t="str">
        <f>'RAW FS'!B26</f>
        <v>Other fixed assets</v>
      </c>
      <c r="C32" s="38"/>
      <c r="D32" s="38"/>
      <c r="E32" s="38"/>
      <c r="F32" s="38"/>
      <c r="G32" s="79">
        <f>'RAW FS'!J26</f>
        <v>90387</v>
      </c>
      <c r="H32" s="69">
        <f>'RAW FS'!K26</f>
        <v>76299</v>
      </c>
      <c r="I32" s="69">
        <f>'RAW FS'!L26</f>
        <v>80819</v>
      </c>
      <c r="J32" s="69">
        <f>'RAW FS'!M26</f>
        <v>120717</v>
      </c>
      <c r="K32" s="69">
        <f>'RAW FS'!N26</f>
        <v>138426</v>
      </c>
    </row>
    <row r="33" spans="1:11" x14ac:dyDescent="0.25">
      <c r="B33" s="11" t="s">
        <v>194</v>
      </c>
      <c r="G33" s="66">
        <f>SUM(G24:G32)</f>
        <v>596522</v>
      </c>
      <c r="H33" s="66">
        <f t="shared" ref="H33:K33" si="3">SUM(H24:H32)</f>
        <v>743778</v>
      </c>
      <c r="I33" s="66">
        <f t="shared" si="3"/>
        <v>775812</v>
      </c>
      <c r="J33" s="66">
        <f t="shared" si="3"/>
        <v>883614</v>
      </c>
      <c r="K33" s="66">
        <f t="shared" si="3"/>
        <v>1017992</v>
      </c>
    </row>
    <row r="34" spans="1:11" x14ac:dyDescent="0.25">
      <c r="B34" t="str">
        <f>'RAW FS'!B28</f>
        <v>Accumulated Depreciation</v>
      </c>
      <c r="G34" s="76">
        <f>-'RAW FS'!J28</f>
        <v>-198148</v>
      </c>
      <c r="H34" s="76">
        <f>-'RAW FS'!K28</f>
        <v>-211120</v>
      </c>
      <c r="I34" s="76">
        <f>-'RAW FS'!L28</f>
        <v>-234554</v>
      </c>
      <c r="J34" s="76">
        <f>-'RAW FS'!M28</f>
        <v>-255816</v>
      </c>
      <c r="K34" s="76">
        <f>-'RAW FS'!N28</f>
        <v>-293187</v>
      </c>
    </row>
    <row r="35" spans="1:11" x14ac:dyDescent="0.25">
      <c r="A35" s="11" t="s">
        <v>57</v>
      </c>
      <c r="B35" s="77" t="s">
        <v>195</v>
      </c>
      <c r="C35" s="77"/>
      <c r="D35" s="75"/>
      <c r="E35" s="75"/>
      <c r="F35" s="75"/>
      <c r="G35" s="82">
        <f>SUM(G33:G34)</f>
        <v>398374</v>
      </c>
      <c r="H35" s="82">
        <f t="shared" ref="H35:K35" si="4">SUM(H33:H34)</f>
        <v>532658</v>
      </c>
      <c r="I35" s="82">
        <f t="shared" si="4"/>
        <v>541258</v>
      </c>
      <c r="J35" s="82">
        <f t="shared" si="4"/>
        <v>627798</v>
      </c>
      <c r="K35" s="82">
        <f t="shared" si="4"/>
        <v>724805</v>
      </c>
    </row>
    <row r="37" spans="1:11" x14ac:dyDescent="0.25">
      <c r="B37" s="11" t="s">
        <v>196</v>
      </c>
      <c r="G37" s="66">
        <f>G35+G21</f>
        <v>276927</v>
      </c>
      <c r="H37" s="66">
        <f t="shared" ref="H37:K37" si="5">H35+H21</f>
        <v>399687</v>
      </c>
      <c r="I37" s="66">
        <f t="shared" si="5"/>
        <v>570216</v>
      </c>
      <c r="J37" s="66">
        <f t="shared" si="5"/>
        <v>605194</v>
      </c>
      <c r="K37" s="66">
        <f t="shared" si="5"/>
        <v>682569</v>
      </c>
    </row>
    <row r="38" spans="1:11" x14ac:dyDescent="0.25">
      <c r="B38" s="11" t="s">
        <v>197</v>
      </c>
      <c r="G38" s="11">
        <f>(Historical_FS!H27+Historical_FS!H21)</f>
        <v>63316</v>
      </c>
      <c r="H38" s="11">
        <f>(Historical_FS!I27+Historical_FS!I21)</f>
        <v>67063</v>
      </c>
      <c r="I38" s="11">
        <f>(Historical_FS!J27+Historical_FS!J21)</f>
        <v>54218</v>
      </c>
      <c r="J38" s="11">
        <f>(Historical_FS!K27+Historical_FS!K21)</f>
        <v>78799</v>
      </c>
      <c r="K38" s="11">
        <f>(Historical_FS!L27+Historical_FS!L21)</f>
        <v>102015</v>
      </c>
    </row>
    <row r="40" spans="1:11" x14ac:dyDescent="0.25">
      <c r="A40" s="11" t="s">
        <v>57</v>
      </c>
      <c r="B40" s="77" t="s">
        <v>198</v>
      </c>
      <c r="C40" s="75"/>
      <c r="D40" s="75"/>
      <c r="E40" s="75"/>
      <c r="F40" s="75"/>
      <c r="G40" s="87">
        <f>G38/G37</f>
        <v>0.22863787207459005</v>
      </c>
      <c r="H40" s="87">
        <f t="shared" ref="H40:K40" si="6">H38/H37</f>
        <v>0.16778879473187769</v>
      </c>
      <c r="I40" s="87">
        <f t="shared" si="6"/>
        <v>9.5083266691920257E-2</v>
      </c>
      <c r="J40" s="87">
        <f t="shared" si="6"/>
        <v>0.1302045294566701</v>
      </c>
      <c r="K40" s="87">
        <f t="shared" si="6"/>
        <v>0.14945741749185795</v>
      </c>
    </row>
    <row r="42" spans="1:11" x14ac:dyDescent="0.25">
      <c r="B42" s="54" t="s">
        <v>199</v>
      </c>
      <c r="C42" s="54"/>
      <c r="D42" s="54"/>
      <c r="E42" s="54"/>
      <c r="F42" s="54"/>
      <c r="G42" s="65">
        <v>43525</v>
      </c>
      <c r="H42" s="65">
        <v>43891</v>
      </c>
      <c r="I42" s="65">
        <v>44256</v>
      </c>
      <c r="J42" s="65">
        <v>44621</v>
      </c>
      <c r="K42" s="65">
        <v>44986</v>
      </c>
    </row>
    <row r="44" spans="1:11" x14ac:dyDescent="0.25">
      <c r="B44" t="s">
        <v>200</v>
      </c>
      <c r="G44" s="25">
        <f>-SUM('RAW FS'!J52:J53)</f>
        <v>92777</v>
      </c>
      <c r="H44" s="25">
        <f>-SUM('RAW FS'!K52:K53)</f>
        <v>75553</v>
      </c>
      <c r="I44" s="25">
        <f>-SUM('RAW FS'!L52:L53)</f>
        <v>103518</v>
      </c>
      <c r="J44" s="25">
        <f>-SUM('RAW FS'!M52:M53)</f>
        <v>97008</v>
      </c>
      <c r="K44" s="25">
        <f>-SUM('RAW FS'!N52:N53)</f>
        <v>131802</v>
      </c>
    </row>
    <row r="45" spans="1:11" x14ac:dyDescent="0.25">
      <c r="B45" t="s">
        <v>201</v>
      </c>
      <c r="H45" s="25">
        <f>H21-G21</f>
        <v>-11524</v>
      </c>
      <c r="I45" s="25">
        <f t="shared" ref="I45:K45" si="7">H21-I21</f>
        <v>-161929</v>
      </c>
      <c r="J45" s="25">
        <f t="shared" si="7"/>
        <v>51562</v>
      </c>
      <c r="K45" s="25">
        <f t="shared" si="7"/>
        <v>19632</v>
      </c>
    </row>
    <row r="47" spans="1:11" x14ac:dyDescent="0.25">
      <c r="B47" t="s">
        <v>197</v>
      </c>
      <c r="G47">
        <f>G38</f>
        <v>63316</v>
      </c>
      <c r="H47">
        <f t="shared" ref="H47:K47" si="8">H38</f>
        <v>67063</v>
      </c>
      <c r="I47">
        <f t="shared" si="8"/>
        <v>54218</v>
      </c>
      <c r="J47">
        <f t="shared" si="8"/>
        <v>78799</v>
      </c>
      <c r="K47">
        <f t="shared" si="8"/>
        <v>102015</v>
      </c>
    </row>
    <row r="48" spans="1:11" x14ac:dyDescent="0.25">
      <c r="B48" t="s">
        <v>202</v>
      </c>
      <c r="G48" s="88">
        <v>0.25</v>
      </c>
      <c r="H48" s="88">
        <v>0.25</v>
      </c>
      <c r="I48" s="88">
        <v>0.25</v>
      </c>
      <c r="J48" s="88">
        <v>0.25</v>
      </c>
      <c r="K48" s="88">
        <v>0.25</v>
      </c>
    </row>
    <row r="49" spans="2:11" x14ac:dyDescent="0.25">
      <c r="B49" t="s">
        <v>204</v>
      </c>
      <c r="G49" s="89">
        <f>G47*(1-G48)</f>
        <v>47487</v>
      </c>
      <c r="H49" s="89">
        <f>H47*(1-H48)</f>
        <v>50297.25</v>
      </c>
      <c r="I49" s="89">
        <f t="shared" ref="H49:K49" si="9">I47*(1-I48)</f>
        <v>40663.5</v>
      </c>
      <c r="J49" s="89">
        <f t="shared" si="9"/>
        <v>59099.25</v>
      </c>
      <c r="K49" s="89">
        <f t="shared" si="9"/>
        <v>76511.25</v>
      </c>
    </row>
    <row r="51" spans="2:11" x14ac:dyDescent="0.25">
      <c r="B51" t="s">
        <v>203</v>
      </c>
      <c r="H51" s="25">
        <f>SUM(H44:H45)</f>
        <v>64029</v>
      </c>
      <c r="I51" s="25">
        <f t="shared" ref="I51:K51" si="10">SUM(I44:I45)</f>
        <v>-58411</v>
      </c>
      <c r="J51" s="25">
        <f t="shared" si="10"/>
        <v>148570</v>
      </c>
      <c r="K51" s="25">
        <f t="shared" si="10"/>
        <v>151434</v>
      </c>
    </row>
    <row r="52" spans="2:11" x14ac:dyDescent="0.25">
      <c r="B52" s="75" t="s">
        <v>205</v>
      </c>
      <c r="C52" s="75"/>
      <c r="D52" s="75"/>
      <c r="E52" s="75"/>
      <c r="F52" s="75"/>
      <c r="G52" s="75"/>
      <c r="H52" s="87">
        <f>H51/H49</f>
        <v>1.2730119439929619</v>
      </c>
      <c r="I52" s="87">
        <f t="shared" ref="I52:K52" si="11">I51/I49</f>
        <v>-1.4364479201249278</v>
      </c>
      <c r="J52" s="87">
        <f t="shared" si="11"/>
        <v>2.513906690863251</v>
      </c>
      <c r="K52" s="87">
        <f t="shared" si="11"/>
        <v>1.9792383473018673</v>
      </c>
    </row>
    <row r="53" spans="2:11" x14ac:dyDescent="0.25">
      <c r="H53" s="32"/>
      <c r="I53" s="32"/>
      <c r="J53" s="32"/>
      <c r="K53" s="32"/>
    </row>
    <row r="54" spans="2:11" x14ac:dyDescent="0.25">
      <c r="J54" s="93" t="s">
        <v>206</v>
      </c>
      <c r="K54" s="91">
        <f>AVERAGE(H52:K52)</f>
        <v>1.0824272655082883</v>
      </c>
    </row>
    <row r="55" spans="2:11" x14ac:dyDescent="0.25">
      <c r="J55" s="93" t="s">
        <v>207</v>
      </c>
      <c r="K55" s="91">
        <f>MEDIAN(H52:K52)</f>
        <v>1.6261251456474146</v>
      </c>
    </row>
    <row r="57" spans="2:11" x14ac:dyDescent="0.25">
      <c r="B57" s="54" t="s">
        <v>208</v>
      </c>
      <c r="C57" s="54"/>
      <c r="D57" s="54"/>
      <c r="E57" s="54"/>
      <c r="F57" s="54"/>
      <c r="G57" s="65">
        <v>43525</v>
      </c>
      <c r="H57" s="65">
        <v>43891</v>
      </c>
      <c r="I57" s="65">
        <v>44256</v>
      </c>
      <c r="J57" s="65">
        <v>44621</v>
      </c>
      <c r="K57" s="65">
        <v>44986</v>
      </c>
    </row>
    <row r="59" spans="2:11" x14ac:dyDescent="0.25">
      <c r="B59" t="s">
        <v>205</v>
      </c>
      <c r="G59" s="32"/>
      <c r="H59" s="32">
        <f>H52</f>
        <v>1.2730119439929619</v>
      </c>
      <c r="I59" s="32">
        <f t="shared" ref="I59:K59" si="12">I52</f>
        <v>-1.4364479201249278</v>
      </c>
      <c r="J59" s="32">
        <f t="shared" si="12"/>
        <v>2.513906690863251</v>
      </c>
      <c r="K59" s="32">
        <f t="shared" si="12"/>
        <v>1.9792383473018673</v>
      </c>
    </row>
    <row r="60" spans="2:11" x14ac:dyDescent="0.25">
      <c r="B60" t="s">
        <v>198</v>
      </c>
      <c r="H60" s="32">
        <f>H40</f>
        <v>0.16778879473187769</v>
      </c>
      <c r="I60" s="32">
        <f t="shared" ref="I60:K60" si="13">I40</f>
        <v>9.5083266691920257E-2</v>
      </c>
      <c r="J60" s="32">
        <f t="shared" si="13"/>
        <v>0.1302045294566701</v>
      </c>
      <c r="K60" s="32">
        <f t="shared" si="13"/>
        <v>0.14945741749185795</v>
      </c>
    </row>
    <row r="62" spans="2:11" x14ac:dyDescent="0.25">
      <c r="B62" s="77" t="s">
        <v>209</v>
      </c>
      <c r="C62" s="77"/>
      <c r="D62" s="77"/>
      <c r="E62" s="77"/>
      <c r="F62" s="77"/>
      <c r="G62" s="77"/>
      <c r="H62" s="92">
        <f>H59*H60</f>
        <v>0.21359713976186367</v>
      </c>
      <c r="I62" s="92">
        <f t="shared" ref="I62:K62" si="14">I59*I60</f>
        <v>-0.13658216067829268</v>
      </c>
      <c r="J62" s="92">
        <f t="shared" si="14"/>
        <v>0.32732203778182423</v>
      </c>
      <c r="K62" s="92">
        <f t="shared" si="14"/>
        <v>0.29581185198859011</v>
      </c>
    </row>
    <row r="64" spans="2:11" x14ac:dyDescent="0.25">
      <c r="J64" s="93" t="s">
        <v>206</v>
      </c>
      <c r="K64" s="91">
        <f>AVERAGE(H62:K62)</f>
        <v>0.17503721721349635</v>
      </c>
    </row>
    <row r="65" spans="10:11" x14ac:dyDescent="0.25">
      <c r="J65" s="93" t="s">
        <v>207</v>
      </c>
      <c r="K65" s="91">
        <f>MEDIAN(H62:K62)</f>
        <v>0.25470449587522692</v>
      </c>
    </row>
  </sheetData>
  <pageMargins left="0.7" right="0.7" top="0.75" bottom="0.75" header="0.3" footer="0.3"/>
  <ignoredErrors>
    <ignoredError sqref="G44:K44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47CA-D299-45FB-AA60-2396070D9104}">
  <dimension ref="B2:K21"/>
  <sheetViews>
    <sheetView showGridLines="0" tabSelected="1" workbookViewId="0">
      <selection activeCell="O18" sqref="O18"/>
    </sheetView>
  </sheetViews>
  <sheetFormatPr defaultRowHeight="15" x14ac:dyDescent="0.25"/>
  <cols>
    <col min="6" max="6" width="11.5703125" bestFit="1" customWidth="1"/>
  </cols>
  <sheetData>
    <row r="2" spans="2:11" x14ac:dyDescent="0.25">
      <c r="B2" s="146" t="s">
        <v>299</v>
      </c>
      <c r="C2" s="146"/>
      <c r="D2" s="146"/>
      <c r="E2" s="146"/>
      <c r="F2" s="147">
        <f>'Data Sheet'!K16</f>
        <v>45016</v>
      </c>
      <c r="G2" s="148">
        <f>F2+365</f>
        <v>45381</v>
      </c>
      <c r="H2" s="148">
        <f t="shared" ref="H2:K2" si="0">G2+365</f>
        <v>45746</v>
      </c>
      <c r="I2" s="148">
        <f t="shared" si="0"/>
        <v>46111</v>
      </c>
      <c r="J2" s="148">
        <f t="shared" si="0"/>
        <v>46476</v>
      </c>
      <c r="K2" s="148">
        <f t="shared" si="0"/>
        <v>46841</v>
      </c>
    </row>
    <row r="4" spans="2:11" x14ac:dyDescent="0.25">
      <c r="B4" t="s">
        <v>197</v>
      </c>
      <c r="F4" s="149">
        <f>'Data Sheet'!K33-'Data Sheet'!K26</f>
        <v>106649</v>
      </c>
    </row>
    <row r="6" spans="2:11" x14ac:dyDescent="0.25">
      <c r="B6" t="s">
        <v>224</v>
      </c>
      <c r="F6" s="88">
        <v>0.25</v>
      </c>
      <c r="G6" s="32">
        <f>F6</f>
        <v>0.25</v>
      </c>
      <c r="H6" s="32">
        <f t="shared" ref="H6:K6" si="1">G6</f>
        <v>0.25</v>
      </c>
      <c r="I6" s="32">
        <f t="shared" si="1"/>
        <v>0.25</v>
      </c>
      <c r="J6" s="32">
        <f t="shared" si="1"/>
        <v>0.25</v>
      </c>
      <c r="K6" s="32">
        <f t="shared" si="1"/>
        <v>0.25</v>
      </c>
    </row>
    <row r="8" spans="2:11" x14ac:dyDescent="0.25">
      <c r="B8" t="s">
        <v>204</v>
      </c>
      <c r="F8" s="149">
        <f>F4*(1-F6)</f>
        <v>79986.75</v>
      </c>
    </row>
    <row r="10" spans="2:11" x14ac:dyDescent="0.25">
      <c r="B10" t="s">
        <v>300</v>
      </c>
      <c r="F10" s="88">
        <v>1.3053999999999999</v>
      </c>
      <c r="G10" s="32">
        <f>F10+(($K$10-$F$10)/4)</f>
        <v>1.3855812864118535</v>
      </c>
      <c r="H10" s="32">
        <f t="shared" ref="H10:J10" si="2">G10+(($K$10-$F$10)/4)</f>
        <v>1.4657625728237071</v>
      </c>
      <c r="I10" s="32">
        <f t="shared" si="2"/>
        <v>1.5459438592355608</v>
      </c>
      <c r="J10" s="32">
        <f t="shared" si="2"/>
        <v>1.6261251456474144</v>
      </c>
      <c r="K10" s="32">
        <f>'Intrinsic Growth'!K55</f>
        <v>1.6261251456474146</v>
      </c>
    </row>
    <row r="12" spans="2:11" x14ac:dyDescent="0.25">
      <c r="B12" t="s">
        <v>301</v>
      </c>
      <c r="F12" s="149">
        <f>F8*(1-F10)</f>
        <v>-24427.95344999999</v>
      </c>
    </row>
    <row r="14" spans="2:11" x14ac:dyDescent="0.25">
      <c r="B14" t="s">
        <v>302</v>
      </c>
    </row>
    <row r="15" spans="2:11" x14ac:dyDescent="0.25">
      <c r="B15" t="s">
        <v>303</v>
      </c>
    </row>
    <row r="17" spans="2:11" ht="15.75" thickBot="1" x14ac:dyDescent="0.3">
      <c r="B17" s="155" t="s">
        <v>304</v>
      </c>
      <c r="C17" s="155"/>
      <c r="D17" s="155"/>
      <c r="E17" s="155"/>
      <c r="F17" s="155"/>
      <c r="G17" s="155"/>
      <c r="H17" s="155"/>
      <c r="I17" s="155"/>
      <c r="J17" s="155"/>
      <c r="K17" s="155"/>
    </row>
    <row r="18" spans="2:11" ht="15.75" thickTop="1" x14ac:dyDescent="0.25"/>
    <row r="19" spans="2:11" x14ac:dyDescent="0.25">
      <c r="B19" t="s">
        <v>305</v>
      </c>
    </row>
    <row r="20" spans="2:11" x14ac:dyDescent="0.25">
      <c r="B20" t="s">
        <v>306</v>
      </c>
    </row>
    <row r="21" spans="2:11" x14ac:dyDescent="0.25">
      <c r="B21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67A7-820C-4DFC-A82C-F26029DC2A8F}">
  <dimension ref="A2:M103"/>
  <sheetViews>
    <sheetView showGridLines="0" zoomScaleNormal="100" workbookViewId="0">
      <pane ySplit="3" topLeftCell="A40" activePane="bottomLeft" state="frozen"/>
      <selection pane="bottomLeft" activeCell="H58" sqref="H58"/>
    </sheetView>
  </sheetViews>
  <sheetFormatPr defaultRowHeight="15" x14ac:dyDescent="0.25"/>
  <cols>
    <col min="1" max="1" width="1.85546875" customWidth="1"/>
    <col min="2" max="2" width="39.140625" bestFit="1" customWidth="1"/>
    <col min="3" max="7" width="12.85546875" bestFit="1" customWidth="1"/>
    <col min="8" max="9" width="14.140625" bestFit="1" customWidth="1"/>
    <col min="10" max="11" width="13.42578125" bestFit="1" customWidth="1"/>
    <col min="12" max="12" width="12.85546875" bestFit="1" customWidth="1"/>
    <col min="13" max="13" width="11.7109375" bestFit="1" customWidth="1"/>
    <col min="14" max="14" width="9.7109375" bestFit="1" customWidth="1"/>
    <col min="15" max="16" width="8.7109375" bestFit="1" customWidth="1"/>
    <col min="17" max="18" width="9.7109375" bestFit="1" customWidth="1"/>
    <col min="19" max="19" width="10.42578125" bestFit="1" customWidth="1"/>
    <col min="20" max="20" width="9.7109375" bestFit="1" customWidth="1"/>
    <col min="21" max="21" width="10.42578125" bestFit="1" customWidth="1"/>
    <col min="22" max="22" width="7.140625" bestFit="1" customWidth="1"/>
    <col min="23" max="23" width="10.42578125" bestFit="1" customWidth="1"/>
  </cols>
  <sheetData>
    <row r="2" spans="1:13" x14ac:dyDescent="0.25">
      <c r="B2" s="151" t="str">
        <f>"Historical Finanacial Statement - "&amp;'Data Sheet'!B1</f>
        <v>Historical Finanacial Statement - RELIANCE INDUSTRIES LTD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</row>
    <row r="3" spans="1:13" x14ac:dyDescent="0.25">
      <c r="B3" s="8" t="s">
        <v>55</v>
      </c>
      <c r="C3" s="9">
        <f>'Data Sheet'!B16</f>
        <v>41729</v>
      </c>
      <c r="D3" s="9">
        <f>'Data Sheet'!C16</f>
        <v>42094</v>
      </c>
      <c r="E3" s="9">
        <f>'Data Sheet'!D16</f>
        <v>42460</v>
      </c>
      <c r="F3" s="9">
        <f>'Data Sheet'!E16</f>
        <v>42825</v>
      </c>
      <c r="G3" s="9">
        <f>'Data Sheet'!F16</f>
        <v>43190</v>
      </c>
      <c r="H3" s="9">
        <f>'Data Sheet'!G16</f>
        <v>43555</v>
      </c>
      <c r="I3" s="9">
        <f>'Data Sheet'!H16</f>
        <v>43921</v>
      </c>
      <c r="J3" s="9">
        <f>'Data Sheet'!I16</f>
        <v>44286</v>
      </c>
      <c r="K3" s="9">
        <f>'Data Sheet'!J16</f>
        <v>44651</v>
      </c>
      <c r="L3" s="9">
        <f>'Data Sheet'!K16</f>
        <v>45016</v>
      </c>
      <c r="M3" s="10" t="s">
        <v>56</v>
      </c>
    </row>
    <row r="4" spans="1:13" x14ac:dyDescent="0.25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1:13" x14ac:dyDescent="0.25">
      <c r="A5" s="11" t="s">
        <v>57</v>
      </c>
      <c r="B5" s="26" t="s">
        <v>58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x14ac:dyDescent="0.25">
      <c r="B6" t="s">
        <v>1</v>
      </c>
      <c r="C6" s="12">
        <f>IFERROR('Data Sheet'!B17,0)</f>
        <v>433521</v>
      </c>
      <c r="D6" s="12">
        <f>IFERROR('Data Sheet'!C17,0)</f>
        <v>374372</v>
      </c>
      <c r="E6" s="12">
        <f>IFERROR('Data Sheet'!D17,0)</f>
        <v>272583</v>
      </c>
      <c r="F6" s="12">
        <f>IFERROR('Data Sheet'!E17,0)</f>
        <v>303954</v>
      </c>
      <c r="G6" s="12">
        <f>IFERROR('Data Sheet'!F17,0)</f>
        <v>390823</v>
      </c>
      <c r="H6" s="12">
        <f>IFERROR('Data Sheet'!G17,0)</f>
        <v>568337</v>
      </c>
      <c r="I6" s="12">
        <f>IFERROR('Data Sheet'!H17,0)</f>
        <v>596679</v>
      </c>
      <c r="J6" s="12">
        <f>IFERROR('Data Sheet'!I17,0)</f>
        <v>466307</v>
      </c>
      <c r="K6" s="12">
        <f>IFERROR('Data Sheet'!J17,0)</f>
        <v>694673</v>
      </c>
      <c r="L6" s="12">
        <f>IFERROR('Data Sheet'!K17,0)</f>
        <v>876396</v>
      </c>
      <c r="M6" s="12">
        <f>IFERROR(SUM('Data Sheet'!H42:K42),0)</f>
        <v>867612</v>
      </c>
    </row>
    <row r="7" spans="1:13" x14ac:dyDescent="0.25">
      <c r="B7" s="13" t="s">
        <v>59</v>
      </c>
      <c r="C7" s="14" t="s">
        <v>60</v>
      </c>
      <c r="D7" s="15">
        <f>D6/C6-1</f>
        <v>-0.13643860389692775</v>
      </c>
      <c r="E7" s="15">
        <f t="shared" ref="E7:M7" si="0">E6/D6-1</f>
        <v>-0.27189266291282466</v>
      </c>
      <c r="F7" s="15">
        <f t="shared" si="0"/>
        <v>0.11508788148930793</v>
      </c>
      <c r="G7" s="15">
        <f t="shared" si="0"/>
        <v>0.28579653500200686</v>
      </c>
      <c r="H7" s="15">
        <f t="shared" si="0"/>
        <v>0.45420561225925793</v>
      </c>
      <c r="I7" s="15">
        <f t="shared" si="0"/>
        <v>4.9868299969912266E-2</v>
      </c>
      <c r="J7" s="15">
        <f t="shared" si="0"/>
        <v>-0.21849604226057895</v>
      </c>
      <c r="K7" s="15">
        <f t="shared" si="0"/>
        <v>0.48973315862725619</v>
      </c>
      <c r="L7" s="15">
        <f t="shared" si="0"/>
        <v>0.26159502384575184</v>
      </c>
      <c r="M7" s="15">
        <f t="shared" si="0"/>
        <v>-1.0022866375474115E-2</v>
      </c>
    </row>
    <row r="9" spans="1:13" x14ac:dyDescent="0.25">
      <c r="B9" t="s">
        <v>61</v>
      </c>
      <c r="C9" s="12">
        <f>IFERROR(SUM('Data Sheet'!B18,'Data Sheet'!B20:B22)-1*'Data Sheet'!B19,0)</f>
        <v>387403</v>
      </c>
      <c r="D9" s="12">
        <f>IFERROR(SUM('Data Sheet'!C18,'Data Sheet'!C20:C22)-1*'Data Sheet'!C19,0)</f>
        <v>322483</v>
      </c>
      <c r="E9" s="12">
        <f>IFERROR(SUM('Data Sheet'!D18,'Data Sheet'!D20:D22)-1*'Data Sheet'!D19,0)</f>
        <v>215234</v>
      </c>
      <c r="F9" s="12">
        <f>IFERROR(SUM('Data Sheet'!E18,'Data Sheet'!E20:E22)-1*'Data Sheet'!E19,0)</f>
        <v>241848</v>
      </c>
      <c r="G9" s="12">
        <f>IFERROR(SUM('Data Sheet'!F18,'Data Sheet'!F20:F22)-1*'Data Sheet'!F19,0)</f>
        <v>301249</v>
      </c>
      <c r="H9" s="12">
        <f>IFERROR(SUM('Data Sheet'!G18,'Data Sheet'!G20:G22)-1*'Data Sheet'!G19,0)</f>
        <v>436202</v>
      </c>
      <c r="I9" s="12">
        <f>IFERROR(SUM('Data Sheet'!H18,'Data Sheet'!H20:H22)-1*'Data Sheet'!H19,0)</f>
        <v>445847</v>
      </c>
      <c r="J9" s="12">
        <f>IFERROR(SUM('Data Sheet'!I18,'Data Sheet'!I20:I22)-1*'Data Sheet'!I19,0)</f>
        <v>328419</v>
      </c>
      <c r="K9" s="12">
        <f>IFERROR(SUM('Data Sheet'!J18,'Data Sheet'!J20:J22)-1*'Data Sheet'!J19,0)</f>
        <v>521826</v>
      </c>
      <c r="L9" s="12">
        <f>IFERROR(SUM('Data Sheet'!K18,'Data Sheet'!K20:K22)-1*'Data Sheet'!K19,0)</f>
        <v>658075</v>
      </c>
      <c r="M9" s="12">
        <f>IFERROR(SUM('Data Sheet'!H43:K43),0)</f>
        <v>724767</v>
      </c>
    </row>
    <row r="10" spans="1:13" x14ac:dyDescent="0.25">
      <c r="B10" s="13" t="s">
        <v>62</v>
      </c>
      <c r="C10" s="15">
        <f>C9/C$6</f>
        <v>0.89361991691290621</v>
      </c>
      <c r="D10" s="15">
        <f t="shared" ref="D10:M10" si="1">D9/D$6</f>
        <v>0.86139721987755491</v>
      </c>
      <c r="E10" s="15">
        <f t="shared" si="1"/>
        <v>0.789609036513649</v>
      </c>
      <c r="F10" s="15">
        <f t="shared" si="1"/>
        <v>0.79567302947156482</v>
      </c>
      <c r="G10" s="15">
        <f t="shared" si="1"/>
        <v>0.77080673348293216</v>
      </c>
      <c r="H10" s="15">
        <f t="shared" si="1"/>
        <v>0.76750589878892272</v>
      </c>
      <c r="I10" s="15">
        <f t="shared" si="1"/>
        <v>0.7472141637295765</v>
      </c>
      <c r="J10" s="15">
        <f t="shared" si="1"/>
        <v>0.70429781238540279</v>
      </c>
      <c r="K10" s="15">
        <f t="shared" si="1"/>
        <v>0.75118221091074511</v>
      </c>
      <c r="L10" s="15">
        <f t="shared" si="1"/>
        <v>0.75088772655283686</v>
      </c>
      <c r="M10" s="15">
        <f t="shared" si="1"/>
        <v>0.835358432110206</v>
      </c>
    </row>
    <row r="12" spans="1:13" x14ac:dyDescent="0.25">
      <c r="B12" s="28" t="s">
        <v>63</v>
      </c>
      <c r="C12" s="29">
        <f>C6-C9</f>
        <v>46118</v>
      </c>
      <c r="D12" s="29">
        <f t="shared" ref="D12:M12" si="2">D6-D9</f>
        <v>51889</v>
      </c>
      <c r="E12" s="29">
        <f t="shared" si="2"/>
        <v>57349</v>
      </c>
      <c r="F12" s="29">
        <f t="shared" si="2"/>
        <v>62106</v>
      </c>
      <c r="G12" s="29">
        <f t="shared" si="2"/>
        <v>89574</v>
      </c>
      <c r="H12" s="29">
        <f t="shared" si="2"/>
        <v>132135</v>
      </c>
      <c r="I12" s="29">
        <f t="shared" si="2"/>
        <v>150832</v>
      </c>
      <c r="J12" s="29">
        <f t="shared" si="2"/>
        <v>137888</v>
      </c>
      <c r="K12" s="29">
        <f t="shared" si="2"/>
        <v>172847</v>
      </c>
      <c r="L12" s="29">
        <f t="shared" si="2"/>
        <v>218321</v>
      </c>
      <c r="M12" s="29">
        <f t="shared" si="2"/>
        <v>142845</v>
      </c>
    </row>
    <row r="13" spans="1:13" x14ac:dyDescent="0.25">
      <c r="B13" s="13" t="s">
        <v>117</v>
      </c>
      <c r="C13" s="15">
        <f>C12/C$6</f>
        <v>0.10638008308709382</v>
      </c>
      <c r="D13" s="15">
        <f t="shared" ref="D13:M13" si="3">D12/D$6</f>
        <v>0.13860278012244506</v>
      </c>
      <c r="E13" s="15">
        <f t="shared" si="3"/>
        <v>0.21039096348635095</v>
      </c>
      <c r="F13" s="15">
        <f t="shared" si="3"/>
        <v>0.20432697052843524</v>
      </c>
      <c r="G13" s="15">
        <f t="shared" si="3"/>
        <v>0.22919326651706784</v>
      </c>
      <c r="H13" s="15">
        <f t="shared" si="3"/>
        <v>0.23249410121107722</v>
      </c>
      <c r="I13" s="15">
        <f t="shared" si="3"/>
        <v>0.25278583627042345</v>
      </c>
      <c r="J13" s="15">
        <f t="shared" si="3"/>
        <v>0.29570218761459727</v>
      </c>
      <c r="K13" s="15">
        <f t="shared" si="3"/>
        <v>0.24881778908925495</v>
      </c>
      <c r="L13" s="15">
        <f t="shared" si="3"/>
        <v>0.24911227344716316</v>
      </c>
      <c r="M13" s="15">
        <f t="shared" si="3"/>
        <v>0.16464156788979406</v>
      </c>
    </row>
    <row r="15" spans="1:13" x14ac:dyDescent="0.25">
      <c r="B15" t="s">
        <v>64</v>
      </c>
      <c r="C15" s="12">
        <f>IFERROR(SUM('Data Sheet'!B23:B24),0)</f>
        <v>11183</v>
      </c>
      <c r="D15" s="12">
        <f>IFERROR(SUM('Data Sheet'!C23:C24),0)</f>
        <v>14440</v>
      </c>
      <c r="E15" s="12">
        <f>IFERROR(SUM('Data Sheet'!D23:D24),0)</f>
        <v>15568</v>
      </c>
      <c r="F15" s="12">
        <f>IFERROR(SUM('Data Sheet'!E23:E24),0)</f>
        <v>15799</v>
      </c>
      <c r="G15" s="12">
        <f>IFERROR(SUM('Data Sheet'!F23:F24),0)</f>
        <v>25259</v>
      </c>
      <c r="H15" s="12">
        <f>IFERROR(SUM('Data Sheet'!G23:G24),0)</f>
        <v>47885</v>
      </c>
      <c r="I15" s="12">
        <f>IFERROR(SUM('Data Sheet'!H23:H24),0)</f>
        <v>61566</v>
      </c>
      <c r="J15" s="12">
        <f>IFERROR(SUM('Data Sheet'!I23:I24),0)</f>
        <v>57098</v>
      </c>
      <c r="K15" s="12">
        <f>IFERROR(SUM('Data Sheet'!J23:J24),0)</f>
        <v>64266</v>
      </c>
      <c r="L15" s="12">
        <f>IFERROR(SUM('Data Sheet'!K23:K24),0)</f>
        <v>76003</v>
      </c>
      <c r="M15" s="12">
        <f>IFERROR(SUM('Data Sheet'!L23:L24),0)</f>
        <v>0</v>
      </c>
    </row>
    <row r="16" spans="1:13" x14ac:dyDescent="0.25">
      <c r="B16" s="13" t="s">
        <v>65</v>
      </c>
      <c r="C16" s="15">
        <f>C15/C$6</f>
        <v>2.5795751532221047E-2</v>
      </c>
      <c r="D16" s="15">
        <f t="shared" ref="D16:M16" si="4">D15/D$6</f>
        <v>3.857126067120404E-2</v>
      </c>
      <c r="E16" s="15">
        <f t="shared" si="4"/>
        <v>5.7112879379858615E-2</v>
      </c>
      <c r="F16" s="15">
        <f t="shared" si="4"/>
        <v>5.1978259868269538E-2</v>
      </c>
      <c r="G16" s="15">
        <f t="shared" si="4"/>
        <v>6.4630280203570409E-2</v>
      </c>
      <c r="H16" s="15">
        <f t="shared" si="4"/>
        <v>8.425458838681979E-2</v>
      </c>
      <c r="I16" s="15">
        <f t="shared" si="4"/>
        <v>0.10318110742962296</v>
      </c>
      <c r="J16" s="15">
        <f t="shared" si="4"/>
        <v>0.12244722897147159</v>
      </c>
      <c r="K16" s="15">
        <f t="shared" si="4"/>
        <v>9.2512592255636822E-2</v>
      </c>
      <c r="L16" s="15">
        <f t="shared" si="4"/>
        <v>8.6722212333237486E-2</v>
      </c>
      <c r="M16" s="15">
        <f t="shared" si="4"/>
        <v>0</v>
      </c>
    </row>
    <row r="18" spans="2:13" x14ac:dyDescent="0.25">
      <c r="B18" s="28" t="s">
        <v>66</v>
      </c>
      <c r="C18" s="29">
        <f>C12-C15</f>
        <v>34935</v>
      </c>
      <c r="D18" s="29">
        <f t="shared" ref="D18:L18" si="5">D12-D15</f>
        <v>37449</v>
      </c>
      <c r="E18" s="29">
        <f t="shared" si="5"/>
        <v>41781</v>
      </c>
      <c r="F18" s="29">
        <f t="shared" si="5"/>
        <v>46307</v>
      </c>
      <c r="G18" s="29">
        <f t="shared" si="5"/>
        <v>64315</v>
      </c>
      <c r="H18" s="29">
        <f t="shared" si="5"/>
        <v>84250</v>
      </c>
      <c r="I18" s="29">
        <f t="shared" si="5"/>
        <v>89266</v>
      </c>
      <c r="J18" s="29">
        <f t="shared" si="5"/>
        <v>80790</v>
      </c>
      <c r="K18" s="29">
        <f t="shared" si="5"/>
        <v>108581</v>
      </c>
      <c r="L18" s="29">
        <f t="shared" si="5"/>
        <v>142318</v>
      </c>
      <c r="M18" s="29">
        <f>IFERROR(SUM('Data Sheet'!H50:K50),0)</f>
        <v>142845</v>
      </c>
    </row>
    <row r="19" spans="2:13" x14ac:dyDescent="0.25">
      <c r="B19" s="13" t="s">
        <v>67</v>
      </c>
      <c r="C19" s="15">
        <f>C18/C$6</f>
        <v>8.0584331554872768E-2</v>
      </c>
      <c r="D19" s="15">
        <f t="shared" ref="D19:M19" si="6">D18/D$6</f>
        <v>0.10003151945124102</v>
      </c>
      <c r="E19" s="15">
        <f t="shared" si="6"/>
        <v>0.15327808410649232</v>
      </c>
      <c r="F19" s="15">
        <f t="shared" si="6"/>
        <v>0.15234871066016567</v>
      </c>
      <c r="G19" s="15">
        <f t="shared" si="6"/>
        <v>0.16456298631349742</v>
      </c>
      <c r="H19" s="15">
        <f t="shared" si="6"/>
        <v>0.14823951282425743</v>
      </c>
      <c r="I19" s="15">
        <f t="shared" si="6"/>
        <v>0.1496047288408005</v>
      </c>
      <c r="J19" s="15">
        <f t="shared" si="6"/>
        <v>0.17325495864312568</v>
      </c>
      <c r="K19" s="15">
        <f t="shared" si="6"/>
        <v>0.15630519683361813</v>
      </c>
      <c r="L19" s="15">
        <f t="shared" si="6"/>
        <v>0.16239006111392568</v>
      </c>
      <c r="M19" s="15">
        <f t="shared" si="6"/>
        <v>0.16464156788979406</v>
      </c>
    </row>
    <row r="21" spans="2:13" x14ac:dyDescent="0.25">
      <c r="B21" t="s">
        <v>6</v>
      </c>
      <c r="C21" s="12">
        <f>IFERROR('Data Sheet'!B27, 0)</f>
        <v>3836</v>
      </c>
      <c r="D21" s="12">
        <f>IFERROR('Data Sheet'!C27, 0)</f>
        <v>3316</v>
      </c>
      <c r="E21" s="12">
        <f>IFERROR('Data Sheet'!D27, 0)</f>
        <v>3691</v>
      </c>
      <c r="F21" s="12">
        <f>IFERROR('Data Sheet'!E27, 0)</f>
        <v>3849</v>
      </c>
      <c r="G21" s="12">
        <f>IFERROR('Data Sheet'!F27, 0)</f>
        <v>8052</v>
      </c>
      <c r="H21" s="12">
        <f>IFERROR('Data Sheet'!G27, 0)</f>
        <v>16495</v>
      </c>
      <c r="I21" s="12">
        <f>IFERROR('Data Sheet'!H27, 0)</f>
        <v>22027</v>
      </c>
      <c r="J21" s="12">
        <f>IFERROR('Data Sheet'!I27, 0)</f>
        <v>21189</v>
      </c>
      <c r="K21" s="12">
        <f>IFERROR('Data Sheet'!J27, 0)</f>
        <v>14584</v>
      </c>
      <c r="L21" s="12">
        <f>IFERROR('Data Sheet'!K27, 0)</f>
        <v>19571</v>
      </c>
      <c r="M21" s="12">
        <f>IFERROR(SUM('Data Sheet'!H46:K46), 0)</f>
        <v>21411</v>
      </c>
    </row>
    <row r="22" spans="2:13" x14ac:dyDescent="0.25">
      <c r="B22" s="13" t="s">
        <v>68</v>
      </c>
      <c r="C22" s="15">
        <f>C21/C$6</f>
        <v>8.8484756217115206E-3</v>
      </c>
      <c r="D22" s="15">
        <f t="shared" ref="D22:M22" si="7">D21/D$6</f>
        <v>8.8575000267113995E-3</v>
      </c>
      <c r="E22" s="15">
        <f t="shared" si="7"/>
        <v>1.3540829765612676E-2</v>
      </c>
      <c r="F22" s="15">
        <f t="shared" si="7"/>
        <v>1.2663100337551077E-2</v>
      </c>
      <c r="G22" s="15">
        <f t="shared" si="7"/>
        <v>2.0602676915125261E-2</v>
      </c>
      <c r="H22" s="15">
        <f t="shared" si="7"/>
        <v>2.902327316363355E-2</v>
      </c>
      <c r="I22" s="15">
        <f t="shared" si="7"/>
        <v>3.6915996708447925E-2</v>
      </c>
      <c r="J22" s="15">
        <f t="shared" si="7"/>
        <v>4.5440021273538675E-2</v>
      </c>
      <c r="K22" s="15">
        <f t="shared" si="7"/>
        <v>2.0994050438119805E-2</v>
      </c>
      <c r="L22" s="15">
        <f t="shared" si="7"/>
        <v>2.2331229261657971E-2</v>
      </c>
      <c r="M22" s="15">
        <f t="shared" si="7"/>
        <v>2.4678081907580807E-2</v>
      </c>
    </row>
    <row r="24" spans="2:13" x14ac:dyDescent="0.25">
      <c r="B24" t="s">
        <v>5</v>
      </c>
      <c r="C24" s="12">
        <f>IFERROR('Data Sheet'!B26,0)</f>
        <v>11201</v>
      </c>
      <c r="D24" s="12">
        <f>IFERROR('Data Sheet'!C26,0)</f>
        <v>11547</v>
      </c>
      <c r="E24" s="12">
        <f>IFERROR('Data Sheet'!D26,0)</f>
        <v>11565</v>
      </c>
      <c r="F24" s="12">
        <f>IFERROR('Data Sheet'!E26,0)</f>
        <v>11646</v>
      </c>
      <c r="G24" s="12">
        <f>IFERROR('Data Sheet'!F26,0)</f>
        <v>16706</v>
      </c>
      <c r="H24" s="12">
        <f>IFERROR('Data Sheet'!G26,0)</f>
        <v>20934</v>
      </c>
      <c r="I24" s="12">
        <f>IFERROR('Data Sheet'!H26,0)</f>
        <v>22203</v>
      </c>
      <c r="J24" s="12">
        <f>IFERROR('Data Sheet'!I26,0)</f>
        <v>26572</v>
      </c>
      <c r="K24" s="12">
        <f>IFERROR('Data Sheet'!J26,0)</f>
        <v>29782</v>
      </c>
      <c r="L24" s="12">
        <f>IFERROR('Data Sheet'!K26,0)</f>
        <v>40303</v>
      </c>
      <c r="M24" s="12">
        <f>IFERROR(SUM('Data Sheet'!H45:K45), 0)</f>
        <v>43144</v>
      </c>
    </row>
    <row r="25" spans="2:13" x14ac:dyDescent="0.25">
      <c r="B25" s="13" t="s">
        <v>69</v>
      </c>
      <c r="C25" s="15">
        <f>C24/C$6</f>
        <v>2.5837272012197793E-2</v>
      </c>
      <c r="D25" s="15">
        <f t="shared" ref="D25:M25" si="8">D24/D$6</f>
        <v>3.0843652837284841E-2</v>
      </c>
      <c r="E25" s="15">
        <f t="shared" si="8"/>
        <v>4.242744411793839E-2</v>
      </c>
      <c r="F25" s="15">
        <f t="shared" si="8"/>
        <v>3.8315008192029057E-2</v>
      </c>
      <c r="G25" s="15">
        <f t="shared" si="8"/>
        <v>4.2745693063100179E-2</v>
      </c>
      <c r="H25" s="15">
        <f t="shared" si="8"/>
        <v>3.6833779958017863E-2</v>
      </c>
      <c r="I25" s="15">
        <f t="shared" si="8"/>
        <v>3.721096267842508E-2</v>
      </c>
      <c r="J25" s="15">
        <f t="shared" si="8"/>
        <v>5.6983918319905125E-2</v>
      </c>
      <c r="K25" s="15">
        <f t="shared" si="8"/>
        <v>4.2871969977241089E-2</v>
      </c>
      <c r="L25" s="15">
        <f t="shared" si="8"/>
        <v>4.5987202132369384E-2</v>
      </c>
      <c r="M25" s="15">
        <f t="shared" si="8"/>
        <v>4.9727297455544647E-2</v>
      </c>
    </row>
    <row r="27" spans="2:13" x14ac:dyDescent="0.25">
      <c r="B27" s="28" t="s">
        <v>70</v>
      </c>
      <c r="C27" s="29">
        <f>IFERROR(C18-SUM(C21,C24),0)</f>
        <v>19898</v>
      </c>
      <c r="D27" s="29">
        <f t="shared" ref="D27:M27" si="9">IFERROR(D18-SUM(D21,D24),0)</f>
        <v>22586</v>
      </c>
      <c r="E27" s="29">
        <f t="shared" si="9"/>
        <v>26525</v>
      </c>
      <c r="F27" s="29">
        <f t="shared" si="9"/>
        <v>30812</v>
      </c>
      <c r="G27" s="29">
        <f t="shared" si="9"/>
        <v>39557</v>
      </c>
      <c r="H27" s="29">
        <f t="shared" si="9"/>
        <v>46821</v>
      </c>
      <c r="I27" s="29">
        <f t="shared" si="9"/>
        <v>45036</v>
      </c>
      <c r="J27" s="29">
        <f t="shared" si="9"/>
        <v>33029</v>
      </c>
      <c r="K27" s="29">
        <f t="shared" si="9"/>
        <v>64215</v>
      </c>
      <c r="L27" s="29">
        <f t="shared" si="9"/>
        <v>82444</v>
      </c>
      <c r="M27" s="29">
        <f t="shared" si="9"/>
        <v>78290</v>
      </c>
    </row>
    <row r="28" spans="2:13" x14ac:dyDescent="0.25">
      <c r="B28" s="13" t="s">
        <v>71</v>
      </c>
      <c r="C28" s="15">
        <f>C27/C$6</f>
        <v>4.5898583920963458E-2</v>
      </c>
      <c r="D28" s="15">
        <f t="shared" ref="D28:M28" si="10">D27/D$6</f>
        <v>6.033036658724477E-2</v>
      </c>
      <c r="E28" s="15">
        <f t="shared" si="10"/>
        <v>9.7309810222941273E-2</v>
      </c>
      <c r="F28" s="15">
        <f t="shared" si="10"/>
        <v>0.10137060213058555</v>
      </c>
      <c r="G28" s="15">
        <f t="shared" si="10"/>
        <v>0.10121461633527198</v>
      </c>
      <c r="H28" s="15">
        <f t="shared" si="10"/>
        <v>8.238245970260602E-2</v>
      </c>
      <c r="I28" s="15">
        <f t="shared" si="10"/>
        <v>7.5477769453927493E-2</v>
      </c>
      <c r="J28" s="15">
        <f t="shared" si="10"/>
        <v>7.0831019049681865E-2</v>
      </c>
      <c r="K28" s="15">
        <f t="shared" si="10"/>
        <v>9.2439176418257218E-2</v>
      </c>
      <c r="L28" s="15">
        <f t="shared" si="10"/>
        <v>9.4071629719898311E-2</v>
      </c>
      <c r="M28" s="15">
        <f t="shared" si="10"/>
        <v>9.0236188526668606E-2</v>
      </c>
    </row>
    <row r="30" spans="2:13" x14ac:dyDescent="0.25">
      <c r="B30" t="s">
        <v>8</v>
      </c>
      <c r="C30" s="12">
        <f>IFERROR('Data Sheet'!B29,0)</f>
        <v>6215</v>
      </c>
      <c r="D30" s="12">
        <f>IFERROR('Data Sheet'!C29,0)</f>
        <v>7474</v>
      </c>
      <c r="E30" s="12">
        <f>IFERROR('Data Sheet'!D29,0)</f>
        <v>8876</v>
      </c>
      <c r="F30" s="12">
        <f>IFERROR('Data Sheet'!E29,0)</f>
        <v>10201</v>
      </c>
      <c r="G30" s="12">
        <f>IFERROR('Data Sheet'!F29,0)</f>
        <v>13346</v>
      </c>
      <c r="H30" s="12">
        <f>IFERROR('Data Sheet'!G29,0)</f>
        <v>15390</v>
      </c>
      <c r="I30" s="12">
        <f>IFERROR('Data Sheet'!H29,0)</f>
        <v>13726</v>
      </c>
      <c r="J30" s="12">
        <f>IFERROR('Data Sheet'!I29,0)</f>
        <v>1722</v>
      </c>
      <c r="K30" s="12">
        <f>IFERROR('Data Sheet'!J29,0)</f>
        <v>15970</v>
      </c>
      <c r="L30" s="12">
        <f>IFERROR('Data Sheet'!K29,0)</f>
        <v>20376</v>
      </c>
      <c r="M30" s="12">
        <f>IFERROR(SUM('Data Sheet'!H48:K48),0)</f>
        <v>18999</v>
      </c>
    </row>
    <row r="31" spans="2:13" x14ac:dyDescent="0.25">
      <c r="B31" s="13" t="s">
        <v>72</v>
      </c>
      <c r="C31" s="15">
        <f>C30/C27</f>
        <v>0.31234294904010451</v>
      </c>
      <c r="D31" s="15">
        <f t="shared" ref="D31:M31" si="11">D30/D27</f>
        <v>0.3309129549278314</v>
      </c>
      <c r="E31" s="15">
        <f t="shared" si="11"/>
        <v>0.3346277097078228</v>
      </c>
      <c r="F31" s="15">
        <f t="shared" si="11"/>
        <v>0.33107230948980915</v>
      </c>
      <c r="G31" s="15">
        <f t="shared" si="11"/>
        <v>0.33738655610890611</v>
      </c>
      <c r="H31" s="15">
        <f t="shared" si="11"/>
        <v>0.32869866085730765</v>
      </c>
      <c r="I31" s="15">
        <f t="shared" si="11"/>
        <v>0.30477839950262015</v>
      </c>
      <c r="J31" s="15">
        <f t="shared" si="11"/>
        <v>5.2136001695479731E-2</v>
      </c>
      <c r="K31" s="15">
        <f t="shared" si="11"/>
        <v>0.24869578758856964</v>
      </c>
      <c r="L31" s="15">
        <f t="shared" si="11"/>
        <v>0.24714958032118772</v>
      </c>
      <c r="M31" s="15">
        <f t="shared" si="11"/>
        <v>0.2426746710946481</v>
      </c>
    </row>
    <row r="33" spans="1:13" x14ac:dyDescent="0.25">
      <c r="B33" s="28" t="s">
        <v>73</v>
      </c>
      <c r="C33" s="29">
        <f>IFERROR(C27-C30,0)</f>
        <v>13683</v>
      </c>
      <c r="D33" s="29">
        <f t="shared" ref="D33:M33" si="12">IFERROR(D27-D30,0)</f>
        <v>15112</v>
      </c>
      <c r="E33" s="29">
        <f t="shared" si="12"/>
        <v>17649</v>
      </c>
      <c r="F33" s="29">
        <f t="shared" si="12"/>
        <v>20611</v>
      </c>
      <c r="G33" s="29">
        <f t="shared" si="12"/>
        <v>26211</v>
      </c>
      <c r="H33" s="29">
        <f t="shared" si="12"/>
        <v>31431</v>
      </c>
      <c r="I33" s="29">
        <f t="shared" si="12"/>
        <v>31310</v>
      </c>
      <c r="J33" s="29">
        <f t="shared" si="12"/>
        <v>31307</v>
      </c>
      <c r="K33" s="29">
        <f t="shared" si="12"/>
        <v>48245</v>
      </c>
      <c r="L33" s="29">
        <f t="shared" si="12"/>
        <v>62068</v>
      </c>
      <c r="M33" s="29">
        <f t="shared" si="12"/>
        <v>59291</v>
      </c>
    </row>
    <row r="34" spans="1:13" x14ac:dyDescent="0.25">
      <c r="B34" s="13" t="s">
        <v>74</v>
      </c>
      <c r="C34" s="15">
        <f>C33/C$6</f>
        <v>3.1562484862325012E-2</v>
      </c>
      <c r="D34" s="15">
        <f t="shared" ref="D34:M34" si="13">D33/D$6</f>
        <v>4.0366266707980297E-2</v>
      </c>
      <c r="E34" s="15">
        <f t="shared" si="13"/>
        <v>6.4747251295935546E-2</v>
      </c>
      <c r="F34" s="15">
        <f t="shared" si="13"/>
        <v>6.7809602768840016E-2</v>
      </c>
      <c r="G34" s="15">
        <f t="shared" si="13"/>
        <v>6.7066165502030331E-2</v>
      </c>
      <c r="H34" s="15">
        <f t="shared" si="13"/>
        <v>5.5303455520228313E-2</v>
      </c>
      <c r="I34" s="15">
        <f t="shared" si="13"/>
        <v>5.247377568173172E-2</v>
      </c>
      <c r="J34" s="15">
        <f t="shared" si="13"/>
        <v>6.7138172920415087E-2</v>
      </c>
      <c r="K34" s="15">
        <f t="shared" si="13"/>
        <v>6.944994263488001E-2</v>
      </c>
      <c r="L34" s="15">
        <f t="shared" si="13"/>
        <v>7.0821865914495269E-2</v>
      </c>
      <c r="M34" s="15">
        <f t="shared" si="13"/>
        <v>6.8338151155124635E-2</v>
      </c>
    </row>
    <row r="36" spans="1:13" x14ac:dyDescent="0.25">
      <c r="B36" t="s">
        <v>75</v>
      </c>
      <c r="C36" s="12">
        <f>IFERROR('Data Sheet'!B93,0)</f>
        <v>689.48</v>
      </c>
      <c r="D36" s="12">
        <f>IFERROR('Data Sheet'!C93,0)</f>
        <v>690.28</v>
      </c>
      <c r="E36" s="12">
        <f>IFERROR('Data Sheet'!D93,0)</f>
        <v>691.28</v>
      </c>
      <c r="F36" s="12">
        <f>IFERROR('Data Sheet'!E93,0)</f>
        <v>693.62</v>
      </c>
      <c r="G36" s="12">
        <f>IFERROR('Data Sheet'!F93,0)</f>
        <v>675.7</v>
      </c>
      <c r="H36" s="12">
        <f>IFERROR('Data Sheet'!G93,0)</f>
        <v>676.13</v>
      </c>
      <c r="I36" s="12">
        <f>IFERROR('Data Sheet'!H93,0)</f>
        <v>676.19</v>
      </c>
      <c r="J36" s="12">
        <f>IFERROR('Data Sheet'!I93,0)</f>
        <v>633.94000000000005</v>
      </c>
      <c r="K36" s="12">
        <f>IFERROR('Data Sheet'!J93,0)</f>
        <v>676.49</v>
      </c>
      <c r="L36" s="12">
        <f>IFERROR('Data Sheet'!K93,0)</f>
        <v>676.56</v>
      </c>
      <c r="M36" s="12">
        <f>L36</f>
        <v>676.56</v>
      </c>
    </row>
    <row r="38" spans="1:13" x14ac:dyDescent="0.25">
      <c r="B38" t="s">
        <v>76</v>
      </c>
      <c r="C38" s="12">
        <f>IFERROR(C33/C36,0)</f>
        <v>19.845390729245228</v>
      </c>
      <c r="D38" s="12">
        <f t="shared" ref="D38:M38" si="14">IFERROR(D33/D36,0)</f>
        <v>21.892565335805759</v>
      </c>
      <c r="E38" s="12">
        <f t="shared" si="14"/>
        <v>25.530899201481311</v>
      </c>
      <c r="F38" s="12">
        <f t="shared" si="14"/>
        <v>29.71511778783772</v>
      </c>
      <c r="G38" s="12">
        <f t="shared" si="14"/>
        <v>38.790883528192985</v>
      </c>
      <c r="H38" s="12">
        <f t="shared" si="14"/>
        <v>46.486622395101534</v>
      </c>
      <c r="I38" s="12">
        <f t="shared" si="14"/>
        <v>46.303553734896994</v>
      </c>
      <c r="J38" s="12">
        <f t="shared" si="14"/>
        <v>49.384799823327121</v>
      </c>
      <c r="K38" s="12">
        <f t="shared" si="14"/>
        <v>71.316649174414991</v>
      </c>
      <c r="L38" s="12">
        <f t="shared" si="14"/>
        <v>91.740569942059835</v>
      </c>
      <c r="M38" s="12">
        <f t="shared" si="14"/>
        <v>87.635982026723426</v>
      </c>
    </row>
    <row r="39" spans="1:13" x14ac:dyDescent="0.25">
      <c r="B39" s="13" t="s">
        <v>78</v>
      </c>
      <c r="C39" s="15"/>
      <c r="D39" s="15">
        <f>IFERROR(D38/C38-1,0)</f>
        <v>0.10315617538049815</v>
      </c>
      <c r="E39" s="15">
        <f t="shared" ref="E39:M39" si="15">IFERROR(E38/D38-1,0)</f>
        <v>0.1661903851772446</v>
      </c>
      <c r="F39" s="15">
        <f t="shared" si="15"/>
        <v>0.16388841432242374</v>
      </c>
      <c r="G39" s="15">
        <f t="shared" si="15"/>
        <v>0.30542587127384491</v>
      </c>
      <c r="H39" s="15">
        <f t="shared" si="15"/>
        <v>0.19839039915951728</v>
      </c>
      <c r="I39" s="15">
        <f t="shared" si="15"/>
        <v>-3.9380933862777079E-3</v>
      </c>
      <c r="J39" s="15">
        <f t="shared" si="15"/>
        <v>6.6544483951950451E-2</v>
      </c>
      <c r="K39" s="15">
        <f t="shared" si="15"/>
        <v>0.44410120987730051</v>
      </c>
      <c r="L39" s="15">
        <f t="shared" si="15"/>
        <v>0.28638362856470234</v>
      </c>
      <c r="M39" s="15">
        <f t="shared" si="15"/>
        <v>-4.4741251530579396E-2</v>
      </c>
    </row>
    <row r="40" spans="1:13" x14ac:dyDescent="0.25">
      <c r="B40" s="13"/>
    </row>
    <row r="41" spans="1:13" x14ac:dyDescent="0.25">
      <c r="B41" t="s">
        <v>77</v>
      </c>
      <c r="C41" s="12">
        <f>IFERROR('Data Sheet'!B31/C36,0)</f>
        <v>4.0508789232465041</v>
      </c>
      <c r="D41" s="12">
        <f>IFERROR('Data Sheet'!C31/D36,0)</f>
        <v>4.2634872805238455</v>
      </c>
      <c r="E41" s="12">
        <f>IFERROR('Data Sheet'!D31/E36,0)</f>
        <v>4.4777803494965864</v>
      </c>
      <c r="F41" s="12">
        <f>IFERROR('Data Sheet'!E31/F36,0)</f>
        <v>4.6926270868775415</v>
      </c>
      <c r="G41" s="12">
        <f>IFERROR('Data Sheet'!F31/G36,0)</f>
        <v>5.2585466923190758</v>
      </c>
      <c r="H41" s="12">
        <f>IFERROR('Data Sheet'!G31/H36,0)</f>
        <v>5.6969813497404349</v>
      </c>
      <c r="I41" s="12">
        <f>IFERROR('Data Sheet'!H31/I36,0)</f>
        <v>6.0934796432955238</v>
      </c>
      <c r="J41" s="12">
        <f>IFERROR('Data Sheet'!I31/J36,0)</f>
        <v>7.1166040950247655</v>
      </c>
      <c r="K41" s="12">
        <f>IFERROR('Data Sheet'!J31/K36,0)</f>
        <v>8.000118257476089</v>
      </c>
      <c r="L41" s="12">
        <f>IFERROR('Data Sheet'!K31/L36,0)</f>
        <v>9.000532103582831</v>
      </c>
      <c r="M41" s="12">
        <f>IFERROR('Data Sheet'!L31/M36,0)</f>
        <v>0</v>
      </c>
    </row>
    <row r="42" spans="1:13" x14ac:dyDescent="0.25">
      <c r="B42" s="13" t="s">
        <v>79</v>
      </c>
      <c r="C42" s="15">
        <f>C41/C38</f>
        <v>0.2041219030914273</v>
      </c>
      <c r="D42" s="15">
        <f t="shared" ref="D42:M42" si="16">D41/D38</f>
        <v>0.19474589730015882</v>
      </c>
      <c r="E42" s="15">
        <f t="shared" si="16"/>
        <v>0.17538670746217916</v>
      </c>
      <c r="F42" s="15">
        <f t="shared" si="16"/>
        <v>0.15792052787346564</v>
      </c>
      <c r="G42" s="15">
        <f t="shared" si="16"/>
        <v>0.13556140551676776</v>
      </c>
      <c r="H42" s="15">
        <f t="shared" si="16"/>
        <v>0.12255098469663708</v>
      </c>
      <c r="I42" s="15">
        <f t="shared" si="16"/>
        <v>0.13159853082082404</v>
      </c>
      <c r="J42" s="15">
        <f t="shared" si="16"/>
        <v>0.14410515220238287</v>
      </c>
      <c r="K42" s="15">
        <f t="shared" si="16"/>
        <v>0.11217742771271634</v>
      </c>
      <c r="L42" s="15">
        <f t="shared" si="16"/>
        <v>9.8108526132628729E-2</v>
      </c>
      <c r="M42" s="15">
        <f t="shared" si="16"/>
        <v>0</v>
      </c>
    </row>
    <row r="44" spans="1:13" x14ac:dyDescent="0.25">
      <c r="B44" t="s">
        <v>80</v>
      </c>
      <c r="C44" s="20">
        <f>IFERROR(IF(C38&gt;C41,1-C42,0),0)</f>
        <v>0.7958780969085727</v>
      </c>
      <c r="D44" s="20">
        <f t="shared" ref="D44:M44" si="17">IFERROR(IF(D38&gt;D41,1-D42,0),0)</f>
        <v>0.80525410269984121</v>
      </c>
      <c r="E44" s="20">
        <f t="shared" si="17"/>
        <v>0.8246132925378209</v>
      </c>
      <c r="F44" s="20">
        <f t="shared" si="17"/>
        <v>0.84207947212653433</v>
      </c>
      <c r="G44" s="20">
        <f t="shared" si="17"/>
        <v>0.86443859448323224</v>
      </c>
      <c r="H44" s="20">
        <f t="shared" si="17"/>
        <v>0.87744901530336294</v>
      </c>
      <c r="I44" s="20">
        <f t="shared" si="17"/>
        <v>0.86840146917917593</v>
      </c>
      <c r="J44" s="20">
        <f t="shared" si="17"/>
        <v>0.85589484779761715</v>
      </c>
      <c r="K44" s="20">
        <f t="shared" si="17"/>
        <v>0.88782257228728367</v>
      </c>
      <c r="L44" s="20">
        <f t="shared" si="17"/>
        <v>0.90189147386737123</v>
      </c>
      <c r="M44" s="20">
        <f t="shared" si="17"/>
        <v>1</v>
      </c>
    </row>
    <row r="47" spans="1:13" x14ac:dyDescent="0.25">
      <c r="A47" s="11" t="s">
        <v>57</v>
      </c>
      <c r="B47" s="26" t="s">
        <v>81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</row>
    <row r="48" spans="1:13" x14ac:dyDescent="0.25">
      <c r="B48" s="3" t="s">
        <v>10</v>
      </c>
      <c r="C48" s="12">
        <f>IFERROR('Data Sheet'!B57,0)</f>
        <v>2940</v>
      </c>
      <c r="D48" s="12">
        <f>IFERROR('Data Sheet'!C57,0)</f>
        <v>2943</v>
      </c>
      <c r="E48" s="12">
        <f>IFERROR('Data Sheet'!D57,0)</f>
        <v>2948</v>
      </c>
      <c r="F48" s="12">
        <f>IFERROR('Data Sheet'!E57,0)</f>
        <v>2959</v>
      </c>
      <c r="G48" s="12">
        <f>IFERROR('Data Sheet'!F57,0)</f>
        <v>5922</v>
      </c>
      <c r="H48" s="12">
        <f>IFERROR('Data Sheet'!G57,0)</f>
        <v>5926</v>
      </c>
      <c r="I48" s="12">
        <f>IFERROR('Data Sheet'!H57,0)</f>
        <v>6339</v>
      </c>
      <c r="J48" s="12">
        <f>IFERROR('Data Sheet'!I57,0)</f>
        <v>6445</v>
      </c>
      <c r="K48" s="12">
        <f>IFERROR('Data Sheet'!J57,0)</f>
        <v>6765</v>
      </c>
      <c r="L48" s="12">
        <f>IFERROR('Data Sheet'!K57,0)</f>
        <v>6766</v>
      </c>
    </row>
    <row r="49" spans="2:12" x14ac:dyDescent="0.25">
      <c r="B49" s="3" t="s">
        <v>11</v>
      </c>
      <c r="C49" s="12">
        <f>IFERROR('Data Sheet'!B58,0)</f>
        <v>195747</v>
      </c>
      <c r="D49" s="12">
        <f>IFERROR('Data Sheet'!C58,0)</f>
        <v>215556</v>
      </c>
      <c r="E49" s="12">
        <f>IFERROR('Data Sheet'!D58,0)</f>
        <v>228608</v>
      </c>
      <c r="F49" s="12">
        <f>IFERROR('Data Sheet'!E58,0)</f>
        <v>260750</v>
      </c>
      <c r="G49" s="12">
        <f>IFERROR('Data Sheet'!F58,0)</f>
        <v>287584</v>
      </c>
      <c r="H49" s="12">
        <f>IFERROR('Data Sheet'!G58,0)</f>
        <v>381186</v>
      </c>
      <c r="I49" s="12">
        <f>IFERROR('Data Sheet'!H58,0)</f>
        <v>442827</v>
      </c>
      <c r="J49" s="12">
        <f>IFERROR('Data Sheet'!I58,0)</f>
        <v>693727</v>
      </c>
      <c r="K49" s="12">
        <f>IFERROR('Data Sheet'!J58,0)</f>
        <v>772720</v>
      </c>
      <c r="L49" s="12">
        <f>IFERROR('Data Sheet'!K58,0)</f>
        <v>709106</v>
      </c>
    </row>
    <row r="50" spans="2:12" x14ac:dyDescent="0.25">
      <c r="B50" s="3" t="s">
        <v>35</v>
      </c>
      <c r="C50" s="12">
        <f>IFERROR('Data Sheet'!B59,0)</f>
        <v>138761</v>
      </c>
      <c r="D50" s="12">
        <f>IFERROR('Data Sheet'!C59,0)</f>
        <v>168251</v>
      </c>
      <c r="E50" s="12">
        <f>IFERROR('Data Sheet'!D59,0)</f>
        <v>194714</v>
      </c>
      <c r="F50" s="12">
        <f>IFERROR('Data Sheet'!E59,0)</f>
        <v>217475</v>
      </c>
      <c r="G50" s="12">
        <f>IFERROR('Data Sheet'!F59,0)</f>
        <v>239843</v>
      </c>
      <c r="H50" s="12">
        <f>IFERROR('Data Sheet'!G59,0)</f>
        <v>307714</v>
      </c>
      <c r="I50" s="12">
        <f>IFERROR('Data Sheet'!H59,0)</f>
        <v>355133</v>
      </c>
      <c r="J50" s="12">
        <f>IFERROR('Data Sheet'!I59,0)</f>
        <v>278962</v>
      </c>
      <c r="K50" s="12">
        <f>IFERROR('Data Sheet'!J59,0)</f>
        <v>319158</v>
      </c>
      <c r="L50" s="12">
        <f>IFERROR('Data Sheet'!K59,0)</f>
        <v>451664</v>
      </c>
    </row>
    <row r="51" spans="2:12" x14ac:dyDescent="0.25">
      <c r="B51" s="3" t="s">
        <v>36</v>
      </c>
      <c r="C51" s="12">
        <f>IFERROR('Data Sheet'!B60,0)</f>
        <v>91395</v>
      </c>
      <c r="D51" s="12">
        <f>IFERROR('Data Sheet'!C60,0)</f>
        <v>117736</v>
      </c>
      <c r="E51" s="12">
        <f>IFERROR('Data Sheet'!D60,0)</f>
        <v>172727</v>
      </c>
      <c r="F51" s="12">
        <f>IFERROR('Data Sheet'!E60,0)</f>
        <v>225618</v>
      </c>
      <c r="G51" s="12">
        <f>IFERROR('Data Sheet'!F60,0)</f>
        <v>277924</v>
      </c>
      <c r="H51" s="12">
        <f>IFERROR('Data Sheet'!G60,0)</f>
        <v>302804</v>
      </c>
      <c r="I51" s="12">
        <f>IFERROR('Data Sheet'!H60,0)</f>
        <v>358716</v>
      </c>
      <c r="J51" s="12">
        <f>IFERROR('Data Sheet'!I60,0)</f>
        <v>340931</v>
      </c>
      <c r="K51" s="12">
        <f>IFERROR('Data Sheet'!J60,0)</f>
        <v>399979</v>
      </c>
      <c r="L51" s="12">
        <f>IFERROR('Data Sheet'!K60,0)</f>
        <v>438346</v>
      </c>
    </row>
    <row r="52" spans="2:12" x14ac:dyDescent="0.25">
      <c r="B52" s="30" t="s">
        <v>82</v>
      </c>
      <c r="C52" s="29">
        <f>IFERROR('Data Sheet'!B61,0)</f>
        <v>428843</v>
      </c>
      <c r="D52" s="29">
        <f>IFERROR('Data Sheet'!C61,0)</f>
        <v>504486</v>
      </c>
      <c r="E52" s="29">
        <f>IFERROR('Data Sheet'!D61,0)</f>
        <v>598997</v>
      </c>
      <c r="F52" s="29">
        <f>IFERROR('Data Sheet'!E61,0)</f>
        <v>706802</v>
      </c>
      <c r="G52" s="29">
        <f>IFERROR('Data Sheet'!F61,0)</f>
        <v>811273</v>
      </c>
      <c r="H52" s="29">
        <f>IFERROR('Data Sheet'!G61,0)</f>
        <v>997630</v>
      </c>
      <c r="I52" s="29">
        <f>IFERROR('Data Sheet'!H61,0)</f>
        <v>1163015</v>
      </c>
      <c r="J52" s="29">
        <f>IFERROR('Data Sheet'!I61,0)</f>
        <v>1320065</v>
      </c>
      <c r="K52" s="29">
        <f>IFERROR('Data Sheet'!J61,0)</f>
        <v>1498622</v>
      </c>
      <c r="L52" s="29">
        <f>IFERROR('Data Sheet'!K61,0)</f>
        <v>1605882</v>
      </c>
    </row>
    <row r="53" spans="2:12" x14ac:dyDescent="0.25">
      <c r="B53" s="1"/>
    </row>
    <row r="54" spans="2:12" x14ac:dyDescent="0.25">
      <c r="B54" s="3" t="s">
        <v>83</v>
      </c>
      <c r="C54" s="12">
        <f>IFERROR('Data Sheet'!B62,0)</f>
        <v>141417</v>
      </c>
      <c r="D54" s="12">
        <f>IFERROR('Data Sheet'!C62,0)</f>
        <v>156458</v>
      </c>
      <c r="E54" s="12">
        <f>IFERROR('Data Sheet'!D62,0)</f>
        <v>184910</v>
      </c>
      <c r="F54" s="12">
        <f>IFERROR('Data Sheet'!E62,0)</f>
        <v>198526</v>
      </c>
      <c r="G54" s="12">
        <f>IFERROR('Data Sheet'!F62,0)</f>
        <v>403885</v>
      </c>
      <c r="H54" s="12">
        <f>IFERROR('Data Sheet'!G62,0)</f>
        <v>398374</v>
      </c>
      <c r="I54" s="12">
        <f>IFERROR('Data Sheet'!H62,0)</f>
        <v>532658</v>
      </c>
      <c r="J54" s="12">
        <f>IFERROR('Data Sheet'!I62,0)</f>
        <v>541258</v>
      </c>
      <c r="K54" s="12">
        <f>IFERROR('Data Sheet'!J62,0)</f>
        <v>627798</v>
      </c>
      <c r="L54" s="12">
        <f>IFERROR('Data Sheet'!K62,0)</f>
        <v>724805</v>
      </c>
    </row>
    <row r="55" spans="2:12" x14ac:dyDescent="0.25">
      <c r="B55" s="3" t="s">
        <v>14</v>
      </c>
      <c r="C55" s="12">
        <f>IFERROR('Data Sheet'!B63,0)</f>
        <v>91494</v>
      </c>
      <c r="D55" s="12">
        <f>IFERROR('Data Sheet'!C63,0)</f>
        <v>166462</v>
      </c>
      <c r="E55" s="12">
        <f>IFERROR('Data Sheet'!D63,0)</f>
        <v>228697</v>
      </c>
      <c r="F55" s="12">
        <f>IFERROR('Data Sheet'!E63,0)</f>
        <v>324837</v>
      </c>
      <c r="G55" s="12">
        <f>IFERROR('Data Sheet'!F63,0)</f>
        <v>187022</v>
      </c>
      <c r="H55" s="12">
        <f>IFERROR('Data Sheet'!G63,0)</f>
        <v>179463</v>
      </c>
      <c r="I55" s="12">
        <f>IFERROR('Data Sheet'!H63,0)</f>
        <v>109106</v>
      </c>
      <c r="J55" s="12">
        <f>IFERROR('Data Sheet'!I63,0)</f>
        <v>125953</v>
      </c>
      <c r="K55" s="12">
        <f>IFERROR('Data Sheet'!J63,0)</f>
        <v>172506</v>
      </c>
      <c r="L55" s="12">
        <f>IFERROR('Data Sheet'!K63,0)</f>
        <v>293752</v>
      </c>
    </row>
    <row r="56" spans="2:12" x14ac:dyDescent="0.25">
      <c r="B56" s="3" t="s">
        <v>15</v>
      </c>
      <c r="C56" s="12">
        <f>IFERROR('Data Sheet'!B64,0)</f>
        <v>60602</v>
      </c>
      <c r="D56" s="12">
        <f>IFERROR('Data Sheet'!C64,0)</f>
        <v>76451</v>
      </c>
      <c r="E56" s="12">
        <f>IFERROR('Data Sheet'!D64,0)</f>
        <v>84015</v>
      </c>
      <c r="F56" s="12">
        <f>IFERROR('Data Sheet'!E64,0)</f>
        <v>82899</v>
      </c>
      <c r="G56" s="12">
        <f>IFERROR('Data Sheet'!F64,0)</f>
        <v>82862</v>
      </c>
      <c r="H56" s="12">
        <f>IFERROR('Data Sheet'!G64,0)</f>
        <v>235635</v>
      </c>
      <c r="I56" s="12">
        <f>IFERROR('Data Sheet'!H64,0)</f>
        <v>276767</v>
      </c>
      <c r="J56" s="12">
        <f>IFERROR('Data Sheet'!I64,0)</f>
        <v>364828</v>
      </c>
      <c r="K56" s="12">
        <f>IFERROR('Data Sheet'!J64,0)</f>
        <v>394264</v>
      </c>
      <c r="L56" s="12">
        <f>IFERROR('Data Sheet'!K64,0)</f>
        <v>235560</v>
      </c>
    </row>
    <row r="57" spans="2:12" x14ac:dyDescent="0.25">
      <c r="B57" s="3" t="s">
        <v>37</v>
      </c>
      <c r="C57" s="12">
        <f>IFERROR('Data Sheet'!B65-SUM('Data Sheet'!B67:B69),0)</f>
        <v>31215</v>
      </c>
      <c r="D57" s="12">
        <f>IFERROR('Data Sheet'!C65-SUM('Data Sheet'!C67:C69),0)</f>
        <v>34007</v>
      </c>
      <c r="E57" s="12">
        <f>IFERROR('Data Sheet'!D65-SUM('Data Sheet'!D67:D69),0)</f>
        <v>39396</v>
      </c>
      <c r="F57" s="12">
        <f>IFERROR('Data Sheet'!E65-SUM('Data Sheet'!E67:E69),0)</f>
        <v>40389</v>
      </c>
      <c r="G57" s="12">
        <f>IFERROR('Data Sheet'!F65-SUM('Data Sheet'!F67:F69),0)</f>
        <v>54857</v>
      </c>
      <c r="H57" s="12">
        <f>IFERROR('Data Sheet'!G65-SUM('Data Sheet'!G67:G69),0)</f>
        <v>75427</v>
      </c>
      <c r="I57" s="12">
        <f>IFERROR('Data Sheet'!H65-SUM('Data Sheet'!H67:H69),0)</f>
        <v>120005</v>
      </c>
      <c r="J57" s="12">
        <f>IFERROR('Data Sheet'!I65-SUM('Data Sheet'!I67:I69),0)</f>
        <v>169943</v>
      </c>
      <c r="K57" s="12">
        <f>IFERROR('Data Sheet'!J65-SUM('Data Sheet'!J67:J69),0)</f>
        <v>136458</v>
      </c>
      <c r="L57" s="12">
        <f>IFERROR('Data Sheet'!K65-SUM('Data Sheet'!K67:K69),0)</f>
        <v>114645</v>
      </c>
    </row>
    <row r="58" spans="2:12" x14ac:dyDescent="0.25">
      <c r="B58" s="30" t="s">
        <v>85</v>
      </c>
      <c r="C58" s="29">
        <f>IFERROR(SUM(C54:C57),0)</f>
        <v>324728</v>
      </c>
      <c r="D58" s="29">
        <f t="shared" ref="D58:L58" si="18">IFERROR(SUM(D54:D57),0)</f>
        <v>433378</v>
      </c>
      <c r="E58" s="29">
        <f t="shared" si="18"/>
        <v>537018</v>
      </c>
      <c r="F58" s="29">
        <f t="shared" si="18"/>
        <v>646651</v>
      </c>
      <c r="G58" s="29">
        <f t="shared" si="18"/>
        <v>728626</v>
      </c>
      <c r="H58" s="29">
        <f t="shared" si="18"/>
        <v>888899</v>
      </c>
      <c r="I58" s="29">
        <f t="shared" si="18"/>
        <v>1038536</v>
      </c>
      <c r="J58" s="29">
        <f t="shared" si="18"/>
        <v>1201982</v>
      </c>
      <c r="K58" s="29">
        <f t="shared" si="18"/>
        <v>1331026</v>
      </c>
      <c r="L58" s="29">
        <f t="shared" si="18"/>
        <v>1368762</v>
      </c>
    </row>
    <row r="59" spans="2:12" x14ac:dyDescent="0.25">
      <c r="B59" s="1"/>
    </row>
    <row r="60" spans="2:12" x14ac:dyDescent="0.25">
      <c r="B60" s="3" t="s">
        <v>42</v>
      </c>
      <c r="C60" s="12">
        <f>IFERROR('Data Sheet'!B67,0)</f>
        <v>9411</v>
      </c>
      <c r="D60" s="12">
        <f>IFERROR('Data Sheet'!C67,0)</f>
        <v>5315</v>
      </c>
      <c r="E60" s="12">
        <f>IFERROR('Data Sheet'!D67,0)</f>
        <v>4465</v>
      </c>
      <c r="F60" s="12">
        <f>IFERROR('Data Sheet'!E67,0)</f>
        <v>8177</v>
      </c>
      <c r="G60" s="12">
        <f>IFERROR('Data Sheet'!F67,0)</f>
        <v>17555</v>
      </c>
      <c r="H60" s="12">
        <f>IFERROR('Data Sheet'!G67,0)</f>
        <v>30089</v>
      </c>
      <c r="I60" s="12">
        <f>IFERROR('Data Sheet'!H67,0)</f>
        <v>19656</v>
      </c>
      <c r="J60" s="12">
        <f>IFERROR('Data Sheet'!I67,0)</f>
        <v>19014</v>
      </c>
      <c r="K60" s="12">
        <f>IFERROR('Data Sheet'!J67,0)</f>
        <v>23640</v>
      </c>
      <c r="L60" s="12">
        <f>IFERROR('Data Sheet'!K67,0)</f>
        <v>28448</v>
      </c>
    </row>
    <row r="61" spans="2:12" x14ac:dyDescent="0.25">
      <c r="B61" s="3" t="s">
        <v>29</v>
      </c>
      <c r="C61" s="12">
        <f>IFERROR('Data Sheet'!B68,0)</f>
        <v>56720</v>
      </c>
      <c r="D61" s="12">
        <f>IFERROR('Data Sheet'!C68,0)</f>
        <v>53248</v>
      </c>
      <c r="E61" s="12">
        <f>IFERROR('Data Sheet'!D68,0)</f>
        <v>46486</v>
      </c>
      <c r="F61" s="12">
        <f>IFERROR('Data Sheet'!E68,0)</f>
        <v>48951</v>
      </c>
      <c r="G61" s="12">
        <f>IFERROR('Data Sheet'!F68,0)</f>
        <v>60837</v>
      </c>
      <c r="H61" s="12">
        <f>IFERROR('Data Sheet'!G68,0)</f>
        <v>67561</v>
      </c>
      <c r="I61" s="12">
        <f>IFERROR('Data Sheet'!H68,0)</f>
        <v>73903</v>
      </c>
      <c r="J61" s="12">
        <f>IFERROR('Data Sheet'!I68,0)</f>
        <v>81672</v>
      </c>
      <c r="K61" s="12">
        <f>IFERROR('Data Sheet'!J68,0)</f>
        <v>107778</v>
      </c>
      <c r="L61" s="12">
        <f>IFERROR('Data Sheet'!K68,0)</f>
        <v>140008</v>
      </c>
    </row>
    <row r="62" spans="2:12" x14ac:dyDescent="0.25">
      <c r="B62" s="2" t="s">
        <v>51</v>
      </c>
      <c r="C62" s="12">
        <f>IFERROR('Data Sheet'!B69,0)</f>
        <v>37984</v>
      </c>
      <c r="D62" s="12">
        <f>IFERROR('Data Sheet'!C69,0)</f>
        <v>12545</v>
      </c>
      <c r="E62" s="12">
        <f>IFERROR('Data Sheet'!D69,0)</f>
        <v>11028</v>
      </c>
      <c r="F62" s="12">
        <f>IFERROR('Data Sheet'!E69,0)</f>
        <v>3023</v>
      </c>
      <c r="G62" s="12">
        <f>IFERROR('Data Sheet'!F69,0)</f>
        <v>4255</v>
      </c>
      <c r="H62" s="12">
        <f>IFERROR('Data Sheet'!G69,0)</f>
        <v>11081</v>
      </c>
      <c r="I62" s="12">
        <f>IFERROR('Data Sheet'!H69,0)</f>
        <v>30920</v>
      </c>
      <c r="J62" s="12">
        <f>IFERROR('Data Sheet'!I69,0)</f>
        <v>17397</v>
      </c>
      <c r="K62" s="12">
        <f>IFERROR('Data Sheet'!J69,0)</f>
        <v>36178</v>
      </c>
      <c r="L62" s="12">
        <f>IFERROR('Data Sheet'!K69,0)</f>
        <v>68664</v>
      </c>
    </row>
    <row r="63" spans="2:12" x14ac:dyDescent="0.25">
      <c r="B63" s="31" t="s">
        <v>86</v>
      </c>
      <c r="C63" s="29">
        <f>IFERROR(SUM(C60:C62),0)</f>
        <v>104115</v>
      </c>
      <c r="D63" s="29">
        <f t="shared" ref="D63:L63" si="19">SUM(D60:D62)</f>
        <v>71108</v>
      </c>
      <c r="E63" s="29">
        <f t="shared" si="19"/>
        <v>61979</v>
      </c>
      <c r="F63" s="29">
        <f t="shared" si="19"/>
        <v>60151</v>
      </c>
      <c r="G63" s="29">
        <f t="shared" si="19"/>
        <v>82647</v>
      </c>
      <c r="H63" s="29">
        <f t="shared" si="19"/>
        <v>108731</v>
      </c>
      <c r="I63" s="29">
        <f t="shared" si="19"/>
        <v>124479</v>
      </c>
      <c r="J63" s="29">
        <f t="shared" si="19"/>
        <v>118083</v>
      </c>
      <c r="K63" s="29">
        <f t="shared" si="19"/>
        <v>167596</v>
      </c>
      <c r="L63" s="29">
        <f t="shared" si="19"/>
        <v>237120</v>
      </c>
    </row>
    <row r="65" spans="1:12" x14ac:dyDescent="0.25">
      <c r="B65" s="31" t="s">
        <v>84</v>
      </c>
      <c r="C65" s="29">
        <f>IFERROR(SUM(C63,C58),0)</f>
        <v>428843</v>
      </c>
      <c r="D65" s="29">
        <f t="shared" ref="D65:L65" si="20">IFERROR(SUM(D63,D58),0)</f>
        <v>504486</v>
      </c>
      <c r="E65" s="29">
        <f t="shared" si="20"/>
        <v>598997</v>
      </c>
      <c r="F65" s="29">
        <f t="shared" si="20"/>
        <v>706802</v>
      </c>
      <c r="G65" s="29">
        <f t="shared" si="20"/>
        <v>811273</v>
      </c>
      <c r="H65" s="29">
        <f t="shared" si="20"/>
        <v>997630</v>
      </c>
      <c r="I65" s="29">
        <f t="shared" si="20"/>
        <v>1163015</v>
      </c>
      <c r="J65" s="29">
        <f t="shared" si="20"/>
        <v>1320065</v>
      </c>
      <c r="K65" s="29">
        <f t="shared" si="20"/>
        <v>1498622</v>
      </c>
      <c r="L65" s="29">
        <f t="shared" si="20"/>
        <v>1605882</v>
      </c>
    </row>
    <row r="67" spans="1:12" x14ac:dyDescent="0.25">
      <c r="B67" s="22" t="s">
        <v>87</v>
      </c>
      <c r="C67" s="23" t="b">
        <f>C65=C52</f>
        <v>1</v>
      </c>
      <c r="D67" s="23" t="b">
        <f t="shared" ref="D67:L67" si="21">D65=D52</f>
        <v>1</v>
      </c>
      <c r="E67" s="23" t="b">
        <f t="shared" si="21"/>
        <v>1</v>
      </c>
      <c r="F67" s="23" t="b">
        <f t="shared" si="21"/>
        <v>1</v>
      </c>
      <c r="G67" s="23" t="b">
        <f t="shared" si="21"/>
        <v>1</v>
      </c>
      <c r="H67" s="23" t="b">
        <f t="shared" si="21"/>
        <v>1</v>
      </c>
      <c r="I67" s="23" t="b">
        <f t="shared" si="21"/>
        <v>1</v>
      </c>
      <c r="J67" s="23" t="b">
        <f t="shared" si="21"/>
        <v>1</v>
      </c>
      <c r="K67" s="23" t="b">
        <f t="shared" si="21"/>
        <v>1</v>
      </c>
      <c r="L67" s="23" t="b">
        <f t="shared" si="21"/>
        <v>1</v>
      </c>
    </row>
    <row r="70" spans="1:12" x14ac:dyDescent="0.25">
      <c r="A70" s="11" t="s">
        <v>57</v>
      </c>
      <c r="B70" s="26" t="s">
        <v>111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spans="1:12" x14ac:dyDescent="0.25">
      <c r="B71" s="11" t="s">
        <v>112</v>
      </c>
    </row>
    <row r="72" spans="1:12" x14ac:dyDescent="0.25">
      <c r="B72" t="s">
        <v>89</v>
      </c>
      <c r="C72" s="12">
        <f>IFERROR('Cash Flow Data'!E4,0)</f>
        <v>38444</v>
      </c>
      <c r="D72" s="12">
        <f>IFERROR('Cash Flow Data'!F4,0)</f>
        <v>38994</v>
      </c>
      <c r="E72" s="12">
        <f>IFERROR('Cash Flow Data'!G4,0)</f>
        <v>38887</v>
      </c>
      <c r="F72" s="12">
        <f>IFERROR('Cash Flow Data'!H4,0)</f>
        <v>44170</v>
      </c>
      <c r="G72" s="12">
        <f>IFERROR('Cash Flow Data'!I4,0)</f>
        <v>62765</v>
      </c>
      <c r="H72" s="12">
        <f>IFERROR('Cash Flow Data'!J4,0)</f>
        <v>83319</v>
      </c>
      <c r="I72" s="12">
        <f>IFERROR('Cash Flow Data'!K4,0)</f>
        <v>85347</v>
      </c>
      <c r="J72" s="12">
        <f>IFERROR('Cash Flow Data'!L4,0)</f>
        <v>80129</v>
      </c>
      <c r="K72" s="12">
        <f>IFERROR('Cash Flow Data'!M4,0)</f>
        <v>113726</v>
      </c>
      <c r="L72" s="12">
        <f>IFERROR('Cash Flow Data'!N4,0)</f>
        <v>140963</v>
      </c>
    </row>
    <row r="73" spans="1:12" x14ac:dyDescent="0.25">
      <c r="B73" t="s">
        <v>42</v>
      </c>
      <c r="C73" s="12">
        <f>IFERROR('Cash Flow Data'!E5,0)</f>
        <v>-1913</v>
      </c>
      <c r="D73" s="12">
        <f>IFERROR('Cash Flow Data'!F5,0)</f>
        <v>1097</v>
      </c>
      <c r="E73" s="12">
        <f>IFERROR('Cash Flow Data'!G5,0)</f>
        <v>-6880</v>
      </c>
      <c r="F73" s="12">
        <f>IFERROR('Cash Flow Data'!H5,0)</f>
        <v>-8511</v>
      </c>
      <c r="G73" s="12">
        <f>IFERROR('Cash Flow Data'!I5,0)</f>
        <v>-21991</v>
      </c>
      <c r="H73" s="12">
        <f>IFERROR('Cash Flow Data'!J5,0)</f>
        <v>-40136</v>
      </c>
      <c r="I73" s="12">
        <f>IFERROR('Cash Flow Data'!K5,0)</f>
        <v>-13792</v>
      </c>
      <c r="J73" s="12">
        <f>IFERROR('Cash Flow Data'!L5,0)</f>
        <v>959</v>
      </c>
      <c r="K73" s="12">
        <f>IFERROR('Cash Flow Data'!M5,0)</f>
        <v>-14180</v>
      </c>
      <c r="L73" s="12">
        <f>IFERROR('Cash Flow Data'!N5,0)</f>
        <v>13194</v>
      </c>
    </row>
    <row r="74" spans="1:12" x14ac:dyDescent="0.25">
      <c r="B74" t="s">
        <v>29</v>
      </c>
      <c r="C74" s="12">
        <f>IFERROR('Cash Flow Data'!E6,0)</f>
        <v>-1396</v>
      </c>
      <c r="D74" s="12">
        <f>IFERROR('Cash Flow Data'!F6,0)</f>
        <v>3472</v>
      </c>
      <c r="E74" s="12">
        <f>IFERROR('Cash Flow Data'!G6,0)</f>
        <v>6758</v>
      </c>
      <c r="F74" s="12">
        <f>IFERROR('Cash Flow Data'!H6,0)</f>
        <v>-6899</v>
      </c>
      <c r="G74" s="12">
        <f>IFERROR('Cash Flow Data'!I6,0)</f>
        <v>-10474</v>
      </c>
      <c r="H74" s="12">
        <f>IFERROR('Cash Flow Data'!J6,0)</f>
        <v>-6724</v>
      </c>
      <c r="I74" s="12">
        <f>IFERROR('Cash Flow Data'!K6,0)</f>
        <v>-6342</v>
      </c>
      <c r="J74" s="12">
        <f>IFERROR('Cash Flow Data'!L6,0)</f>
        <v>-7769</v>
      </c>
      <c r="K74" s="12">
        <f>IFERROR('Cash Flow Data'!M6,0)</f>
        <v>-24983</v>
      </c>
      <c r="L74" s="12">
        <f>IFERROR('Cash Flow Data'!N6,0)</f>
        <v>-32228</v>
      </c>
    </row>
    <row r="75" spans="1:12" x14ac:dyDescent="0.25">
      <c r="B75" t="s">
        <v>90</v>
      </c>
      <c r="C75" s="12">
        <f>IFERROR('Cash Flow Data'!E7,0)</f>
        <v>14339</v>
      </c>
      <c r="D75" s="12">
        <f>IFERROR('Cash Flow Data'!F7,0)</f>
        <v>-2754</v>
      </c>
      <c r="E75" s="12">
        <f>IFERROR('Cash Flow Data'!G7,0)</f>
        <v>7951</v>
      </c>
      <c r="F75" s="12">
        <f>IFERROR('Cash Flow Data'!H7,0)</f>
        <v>30873</v>
      </c>
      <c r="G75" s="12">
        <f>IFERROR('Cash Flow Data'!I7,0)</f>
        <v>51003</v>
      </c>
      <c r="H75" s="12">
        <f>IFERROR('Cash Flow Data'!J7,0)</f>
        <v>18078</v>
      </c>
      <c r="I75" s="12">
        <f>IFERROR('Cash Flow Data'!K7,0)</f>
        <v>38050</v>
      </c>
      <c r="J75" s="12">
        <f>IFERROR('Cash Flow Data'!L7,0)</f>
        <v>-43148</v>
      </c>
      <c r="K75" s="12">
        <f>IFERROR('Cash Flow Data'!M7,0)</f>
        <v>39888</v>
      </c>
      <c r="L75" s="12">
        <f>IFERROR('Cash Flow Data'!N7,0)</f>
        <v>-600</v>
      </c>
    </row>
    <row r="76" spans="1:12" x14ac:dyDescent="0.25">
      <c r="B76" s="11" t="s">
        <v>91</v>
      </c>
      <c r="C76" s="21">
        <f>IFERROR('Cash Flow Data'!E8,0)</f>
        <v>11030</v>
      </c>
      <c r="D76" s="21">
        <f>IFERROR('Cash Flow Data'!F8,0)</f>
        <v>1815</v>
      </c>
      <c r="E76" s="21">
        <f>IFERROR('Cash Flow Data'!G8,0)</f>
        <v>7829</v>
      </c>
      <c r="F76" s="21">
        <f>IFERROR('Cash Flow Data'!H8,0)</f>
        <v>15463</v>
      </c>
      <c r="G76" s="21">
        <f>IFERROR('Cash Flow Data'!I8,0)</f>
        <v>18538</v>
      </c>
      <c r="H76" s="21">
        <f>IFERROR('Cash Flow Data'!J8,0)</f>
        <v>-28782</v>
      </c>
      <c r="I76" s="21">
        <f>IFERROR('Cash Flow Data'!K8,0)</f>
        <v>17916</v>
      </c>
      <c r="J76" s="21">
        <f>IFERROR('Cash Flow Data'!L8,0)</f>
        <v>-49958</v>
      </c>
      <c r="K76" s="21">
        <f>IFERROR('Cash Flow Data'!M8,0)</f>
        <v>725</v>
      </c>
      <c r="L76" s="21">
        <f>IFERROR('Cash Flow Data'!N8,0)</f>
        <v>-19634</v>
      </c>
    </row>
    <row r="77" spans="1:12" x14ac:dyDescent="0.25">
      <c r="B77" t="s">
        <v>92</v>
      </c>
      <c r="C77" s="12">
        <f>IFERROR('Cash Flow Data'!E9,0)</f>
        <v>-6213</v>
      </c>
      <c r="D77" s="12">
        <f>IFERROR('Cash Flow Data'!F9,0)</f>
        <v>-6435</v>
      </c>
      <c r="E77" s="12">
        <f>IFERROR('Cash Flow Data'!G9,0)</f>
        <v>-8582</v>
      </c>
      <c r="F77" s="12">
        <f>IFERROR('Cash Flow Data'!H9,0)</f>
        <v>-10083</v>
      </c>
      <c r="G77" s="12">
        <f>IFERROR('Cash Flow Data'!I9,0)</f>
        <v>-9844</v>
      </c>
      <c r="H77" s="12">
        <f>IFERROR('Cash Flow Data'!J9,0)</f>
        <v>-12191</v>
      </c>
      <c r="I77" s="12">
        <f>IFERROR('Cash Flow Data'!K9,0)</f>
        <v>-8386</v>
      </c>
      <c r="J77" s="12">
        <f>IFERROR('Cash Flow Data'!L9,0)</f>
        <v>-3213</v>
      </c>
      <c r="K77" s="12">
        <f>IFERROR('Cash Flow Data'!M9,0)</f>
        <v>-3797</v>
      </c>
      <c r="L77" s="12">
        <f>IFERROR('Cash Flow Data'!N9,0)</f>
        <v>-6297</v>
      </c>
    </row>
    <row r="78" spans="1:12" x14ac:dyDescent="0.25">
      <c r="B78" t="s">
        <v>93</v>
      </c>
      <c r="C78" s="12">
        <f>IFERROR('Cash Flow Data'!E10,0)</f>
        <v>0</v>
      </c>
      <c r="D78" s="12">
        <f>IFERROR('Cash Flow Data'!F10,0)</f>
        <v>0</v>
      </c>
      <c r="E78" s="12">
        <f>IFERROR('Cash Flow Data'!G10,0)</f>
        <v>0</v>
      </c>
      <c r="F78" s="12">
        <f>IFERROR('Cash Flow Data'!H10,0)</f>
        <v>0</v>
      </c>
      <c r="G78" s="12">
        <f>IFERROR('Cash Flow Data'!I10,0)</f>
        <v>0</v>
      </c>
      <c r="H78" s="12">
        <f>IFERROR('Cash Flow Data'!J10,0)</f>
        <v>0</v>
      </c>
      <c r="I78" s="12">
        <f>IFERROR('Cash Flow Data'!K10,0)</f>
        <v>0</v>
      </c>
      <c r="J78" s="12">
        <f>IFERROR('Cash Flow Data'!L10,0)</f>
        <v>0</v>
      </c>
      <c r="K78" s="12">
        <f>IFERROR('Cash Flow Data'!M10,0)</f>
        <v>0</v>
      </c>
      <c r="L78" s="12">
        <f>IFERROR('Cash Flow Data'!N10,0)</f>
        <v>0</v>
      </c>
    </row>
    <row r="79" spans="1:12" x14ac:dyDescent="0.25">
      <c r="B79" s="11" t="s">
        <v>153</v>
      </c>
      <c r="C79" s="21">
        <f t="shared" ref="C79:L79" si="22">SUM(C72:C75,C77:C78)</f>
        <v>43261</v>
      </c>
      <c r="D79" s="21">
        <f t="shared" si="22"/>
        <v>34374</v>
      </c>
      <c r="E79" s="21">
        <f t="shared" si="22"/>
        <v>38134</v>
      </c>
      <c r="F79" s="21">
        <f t="shared" si="22"/>
        <v>49550</v>
      </c>
      <c r="G79" s="21">
        <f t="shared" si="22"/>
        <v>71459</v>
      </c>
      <c r="H79" s="21">
        <f t="shared" si="22"/>
        <v>42346</v>
      </c>
      <c r="I79" s="21">
        <f t="shared" si="22"/>
        <v>94877</v>
      </c>
      <c r="J79" s="21">
        <f t="shared" si="22"/>
        <v>26958</v>
      </c>
      <c r="K79" s="21">
        <f t="shared" si="22"/>
        <v>110654</v>
      </c>
      <c r="L79" s="21">
        <f t="shared" si="22"/>
        <v>115032</v>
      </c>
    </row>
    <row r="80" spans="1:12" x14ac:dyDescent="0.25">
      <c r="B80" s="11" t="s">
        <v>154</v>
      </c>
      <c r="C80" s="21">
        <f>C79+C76</f>
        <v>54291</v>
      </c>
      <c r="D80" s="21">
        <f t="shared" ref="D80:L80" si="23">D79+D76</f>
        <v>36189</v>
      </c>
      <c r="E80" s="21">
        <f t="shared" si="23"/>
        <v>45963</v>
      </c>
      <c r="F80" s="21">
        <f t="shared" si="23"/>
        <v>65013</v>
      </c>
      <c r="G80" s="21">
        <f t="shared" si="23"/>
        <v>89997</v>
      </c>
      <c r="H80" s="21">
        <f t="shared" si="23"/>
        <v>13564</v>
      </c>
      <c r="I80" s="21">
        <f t="shared" si="23"/>
        <v>112793</v>
      </c>
      <c r="J80" s="21">
        <f t="shared" si="23"/>
        <v>-23000</v>
      </c>
      <c r="K80" s="21">
        <f t="shared" si="23"/>
        <v>111379</v>
      </c>
      <c r="L80" s="21">
        <f t="shared" si="23"/>
        <v>95398</v>
      </c>
    </row>
    <row r="82" spans="2:13" x14ac:dyDescent="0.25">
      <c r="B82" s="11" t="s">
        <v>113</v>
      </c>
    </row>
    <row r="83" spans="2:13" x14ac:dyDescent="0.25">
      <c r="B83" t="s">
        <v>95</v>
      </c>
      <c r="C83" s="12">
        <f>IFERROR('Cash Flow Data'!E12,0)</f>
        <v>-60087</v>
      </c>
      <c r="D83" s="12">
        <f>IFERROR('Cash Flow Data'!F12,0)</f>
        <v>-63364</v>
      </c>
      <c r="E83" s="12">
        <f>IFERROR('Cash Flow Data'!G12,0)</f>
        <v>-46898</v>
      </c>
      <c r="F83" s="12">
        <f>IFERROR('Cash Flow Data'!H12,0)</f>
        <v>-78109</v>
      </c>
      <c r="G83" s="12">
        <f>IFERROR('Cash Flow Data'!I12,0)</f>
        <v>-73953</v>
      </c>
      <c r="H83" s="12">
        <f>IFERROR('Cash Flow Data'!J12,0)</f>
        <v>-93626</v>
      </c>
      <c r="I83" s="12">
        <f>IFERROR('Cash Flow Data'!K12,0)</f>
        <v>-76517</v>
      </c>
      <c r="J83" s="12">
        <f>IFERROR('Cash Flow Data'!L12,0)</f>
        <v>-105837</v>
      </c>
      <c r="K83" s="12">
        <f>IFERROR('Cash Flow Data'!M12,0)</f>
        <v>-100145</v>
      </c>
      <c r="L83" s="12">
        <f>IFERROR('Cash Flow Data'!N12,0)</f>
        <v>-140988</v>
      </c>
    </row>
    <row r="84" spans="2:13" x14ac:dyDescent="0.25">
      <c r="B84" t="s">
        <v>96</v>
      </c>
      <c r="C84" s="12">
        <f>IFERROR('Cash Flow Data'!E13,0)</f>
        <v>148</v>
      </c>
      <c r="D84" s="12">
        <f>IFERROR('Cash Flow Data'!F13,0)</f>
        <v>402</v>
      </c>
      <c r="E84" s="12">
        <f>IFERROR('Cash Flow Data'!G13,0)</f>
        <v>344</v>
      </c>
      <c r="F84" s="12">
        <f>IFERROR('Cash Flow Data'!H13,0)</f>
        <v>1482</v>
      </c>
      <c r="G84" s="12">
        <f>IFERROR('Cash Flow Data'!I13,0)</f>
        <v>999</v>
      </c>
      <c r="H84" s="12">
        <f>IFERROR('Cash Flow Data'!J13,0)</f>
        <v>849</v>
      </c>
      <c r="I84" s="12">
        <f>IFERROR('Cash Flow Data'!K13,0)</f>
        <v>964</v>
      </c>
      <c r="J84" s="12">
        <f>IFERROR('Cash Flow Data'!L13,0)</f>
        <v>2319</v>
      </c>
      <c r="K84" s="12">
        <f>IFERROR('Cash Flow Data'!M13,0)</f>
        <v>3137</v>
      </c>
      <c r="L84" s="12">
        <f>IFERROR('Cash Flow Data'!N13,0)</f>
        <v>9186</v>
      </c>
    </row>
    <row r="85" spans="2:13" x14ac:dyDescent="0.25">
      <c r="B85" t="s">
        <v>97</v>
      </c>
      <c r="C85" s="12">
        <f>IFERROR('Cash Flow Data'!E14,0)</f>
        <v>-765659</v>
      </c>
      <c r="D85" s="12">
        <f>IFERROR('Cash Flow Data'!F14,0)</f>
        <v>-678241</v>
      </c>
      <c r="E85" s="12">
        <f>IFERROR('Cash Flow Data'!G14,0)</f>
        <v>-715334</v>
      </c>
      <c r="F85" s="12">
        <f>IFERROR('Cash Flow Data'!H14,0)</f>
        <v>-654760</v>
      </c>
      <c r="G85" s="12">
        <f>IFERROR('Cash Flow Data'!I14,0)</f>
        <v>-533984</v>
      </c>
      <c r="H85" s="12">
        <f>IFERROR('Cash Flow Data'!J14,0)</f>
        <v>-1105479</v>
      </c>
      <c r="I85" s="12">
        <f>IFERROR('Cash Flow Data'!K14,0)</f>
        <v>-1156843</v>
      </c>
      <c r="J85" s="12">
        <f>IFERROR('Cash Flow Data'!L14,0)</f>
        <v>-689866</v>
      </c>
      <c r="K85" s="12">
        <f>IFERROR('Cash Flow Data'!M14,0)</f>
        <v>-667878</v>
      </c>
      <c r="L85" s="12">
        <f>IFERROR('Cash Flow Data'!N14,0)</f>
        <v>-471822</v>
      </c>
    </row>
    <row r="86" spans="2:13" x14ac:dyDescent="0.25">
      <c r="B86" t="s">
        <v>98</v>
      </c>
      <c r="C86" s="12">
        <f>IFERROR('Cash Flow Data'!E15,0)</f>
        <v>749849</v>
      </c>
      <c r="D86" s="12">
        <f>IFERROR('Cash Flow Data'!F15,0)</f>
        <v>666383</v>
      </c>
      <c r="E86" s="12">
        <f>IFERROR('Cash Flow Data'!G15,0)</f>
        <v>721182</v>
      </c>
      <c r="F86" s="12">
        <f>IFERROR('Cash Flow Data'!H15,0)</f>
        <v>663990</v>
      </c>
      <c r="G86" s="12">
        <f>IFERROR('Cash Flow Data'!I15,0)</f>
        <v>537504</v>
      </c>
      <c r="H86" s="12">
        <f>IFERROR('Cash Flow Data'!J15,0)</f>
        <v>0</v>
      </c>
      <c r="I86" s="12">
        <f>IFERROR('Cash Flow Data'!K15,0)</f>
        <v>0</v>
      </c>
      <c r="J86" s="12">
        <f>IFERROR('Cash Flow Data'!L15,0)</f>
        <v>642551</v>
      </c>
      <c r="K86" s="12">
        <f>IFERROR('Cash Flow Data'!M15,0)</f>
        <v>668137</v>
      </c>
      <c r="L86" s="12">
        <f>IFERROR('Cash Flow Data'!N15,0)</f>
        <v>501266</v>
      </c>
    </row>
    <row r="87" spans="2:13" x14ac:dyDescent="0.25">
      <c r="B87" t="s">
        <v>99</v>
      </c>
      <c r="C87" s="12">
        <f>IFERROR('Cash Flow Data'!E16,0)</f>
        <v>6413</v>
      </c>
      <c r="D87" s="12">
        <f>IFERROR('Cash Flow Data'!F16,0)</f>
        <v>6055</v>
      </c>
      <c r="E87" s="12">
        <f>IFERROR('Cash Flow Data'!G16,0)</f>
        <v>2942</v>
      </c>
      <c r="F87" s="12">
        <f>IFERROR('Cash Flow Data'!H16,0)</f>
        <v>1110</v>
      </c>
      <c r="G87" s="12">
        <f>IFERROR('Cash Flow Data'!I16,0)</f>
        <v>1310</v>
      </c>
      <c r="H87" s="12">
        <f>IFERROR('Cash Flow Data'!J16,0)</f>
        <v>972</v>
      </c>
      <c r="I87" s="12">
        <f>IFERROR('Cash Flow Data'!K16,0)</f>
        <v>1441</v>
      </c>
      <c r="J87" s="12">
        <f>IFERROR('Cash Flow Data'!L16,0)</f>
        <v>8400</v>
      </c>
      <c r="K87" s="12">
        <f>IFERROR('Cash Flow Data'!M16,0)</f>
        <v>5933</v>
      </c>
      <c r="L87" s="12">
        <f>IFERROR('Cash Flow Data'!N16,0)</f>
        <v>11103</v>
      </c>
    </row>
    <row r="88" spans="2:13" x14ac:dyDescent="0.25">
      <c r="B88" t="s">
        <v>100</v>
      </c>
      <c r="C88" s="12">
        <f>IFERROR('Cash Flow Data'!E17,0)</f>
        <v>316</v>
      </c>
      <c r="D88" s="12">
        <f>IFERROR('Cash Flow Data'!F17,0)</f>
        <v>548</v>
      </c>
      <c r="E88" s="12">
        <f>IFERROR('Cash Flow Data'!G17,0)</f>
        <v>732</v>
      </c>
      <c r="F88" s="12">
        <f>IFERROR('Cash Flow Data'!H17,0)</f>
        <v>345</v>
      </c>
      <c r="G88" s="12">
        <f>IFERROR('Cash Flow Data'!I17,0)</f>
        <v>1021</v>
      </c>
      <c r="H88" s="12">
        <f>IFERROR('Cash Flow Data'!J17,0)</f>
        <v>501</v>
      </c>
      <c r="I88" s="12">
        <f>IFERROR('Cash Flow Data'!K17,0)</f>
        <v>78</v>
      </c>
      <c r="J88" s="12">
        <f>IFERROR('Cash Flow Data'!L17,0)</f>
        <v>26</v>
      </c>
      <c r="K88" s="12">
        <f>IFERROR('Cash Flow Data'!M17,0)</f>
        <v>19</v>
      </c>
      <c r="L88" s="12">
        <f>IFERROR('Cash Flow Data'!N17,0)</f>
        <v>20</v>
      </c>
    </row>
    <row r="89" spans="2:13" x14ac:dyDescent="0.25">
      <c r="B89" t="s">
        <v>101</v>
      </c>
      <c r="C89" s="12">
        <f>IFERROR('Cash Flow Data'!E18,0)</f>
        <v>-4050</v>
      </c>
      <c r="D89" s="12">
        <f>IFERROR('Cash Flow Data'!F18,0)</f>
        <v>3511</v>
      </c>
      <c r="E89" s="12">
        <f>IFERROR('Cash Flow Data'!G18,0)</f>
        <v>846</v>
      </c>
      <c r="F89" s="12">
        <f>IFERROR('Cash Flow Data'!H18,0)</f>
        <v>-259</v>
      </c>
      <c r="G89" s="12">
        <f>IFERROR('Cash Flow Data'!I18,0)</f>
        <v>-1089</v>
      </c>
      <c r="H89" s="12">
        <f>IFERROR('Cash Flow Data'!J18,0)</f>
        <v>1102276</v>
      </c>
      <c r="I89" s="12">
        <f>IFERROR('Cash Flow Data'!K18,0)</f>
        <v>1158380</v>
      </c>
      <c r="J89" s="12">
        <f>IFERROR('Cash Flow Data'!L18,0)</f>
        <v>22</v>
      </c>
      <c r="K89" s="12">
        <f>IFERROR('Cash Flow Data'!M18,0)</f>
        <v>-18365</v>
      </c>
      <c r="L89" s="12">
        <f>IFERROR('Cash Flow Data'!N18,0)</f>
        <v>-1766</v>
      </c>
    </row>
    <row r="90" spans="2:13" x14ac:dyDescent="0.25">
      <c r="B90" s="11" t="s">
        <v>116</v>
      </c>
      <c r="C90" s="21">
        <f>SUM(C83:C89)</f>
        <v>-73070</v>
      </c>
      <c r="D90" s="21">
        <f t="shared" ref="D90:L90" si="24">SUM(D83:D89)</f>
        <v>-64706</v>
      </c>
      <c r="E90" s="21">
        <f t="shared" si="24"/>
        <v>-36186</v>
      </c>
      <c r="F90" s="21">
        <f t="shared" si="24"/>
        <v>-66201</v>
      </c>
      <c r="G90" s="21">
        <f t="shared" si="24"/>
        <v>-68192</v>
      </c>
      <c r="H90" s="21">
        <f t="shared" si="24"/>
        <v>-94507</v>
      </c>
      <c r="I90" s="21">
        <f t="shared" si="24"/>
        <v>-72497</v>
      </c>
      <c r="J90" s="21">
        <f t="shared" si="24"/>
        <v>-142385</v>
      </c>
      <c r="K90" s="21">
        <f t="shared" si="24"/>
        <v>-109162</v>
      </c>
      <c r="L90" s="21">
        <f t="shared" si="24"/>
        <v>-93001</v>
      </c>
    </row>
    <row r="92" spans="2:13" x14ac:dyDescent="0.25">
      <c r="B92" s="11" t="s">
        <v>114</v>
      </c>
    </row>
    <row r="93" spans="2:13" x14ac:dyDescent="0.25">
      <c r="B93" t="s">
        <v>103</v>
      </c>
      <c r="C93" s="12">
        <f>IFERROR('Cash Flow Data'!E20,0)</f>
        <v>188</v>
      </c>
      <c r="D93" s="12">
        <f>IFERROR('Cash Flow Data'!F20,0)</f>
        <v>343</v>
      </c>
      <c r="E93" s="12">
        <f>IFERROR('Cash Flow Data'!G20,0)</f>
        <v>288</v>
      </c>
      <c r="F93" s="12">
        <f>IFERROR('Cash Flow Data'!H20,0)</f>
        <v>811</v>
      </c>
      <c r="G93" s="12">
        <f>IFERROR('Cash Flow Data'!I20,0)</f>
        <v>406</v>
      </c>
      <c r="H93" s="12">
        <f>IFERROR('Cash Flow Data'!J20,0)</f>
        <v>230</v>
      </c>
      <c r="I93" s="12">
        <f>IFERROR('Cash Flow Data'!K20,0)</f>
        <v>129</v>
      </c>
      <c r="J93" s="12">
        <f>IFERROR('Cash Flow Data'!L20,0)</f>
        <v>5</v>
      </c>
      <c r="K93" s="12">
        <f>IFERROR('Cash Flow Data'!M20,0)</f>
        <v>455</v>
      </c>
      <c r="L93" s="12">
        <f>IFERROR('Cash Flow Data'!N20,0)</f>
        <v>479</v>
      </c>
      <c r="M93" s="12">
        <f>IFERROR('Cash Flow Data'!O20,0)</f>
        <v>0</v>
      </c>
    </row>
    <row r="94" spans="2:13" x14ac:dyDescent="0.25">
      <c r="B94" t="s">
        <v>104</v>
      </c>
      <c r="C94" s="12">
        <f>IFERROR('Cash Flow Data'!E21,0)</f>
        <v>42152</v>
      </c>
      <c r="D94" s="12">
        <f>IFERROR('Cash Flow Data'!F21,0)</f>
        <v>29413</v>
      </c>
      <c r="E94" s="12">
        <f>IFERROR('Cash Flow Data'!G21,0)</f>
        <v>34673</v>
      </c>
      <c r="F94" s="12">
        <f>IFERROR('Cash Flow Data'!H21,0)</f>
        <v>31728</v>
      </c>
      <c r="G94" s="12">
        <f>IFERROR('Cash Flow Data'!I21,0)</f>
        <v>36970</v>
      </c>
      <c r="H94" s="12">
        <f>IFERROR('Cash Flow Data'!J21,0)</f>
        <v>106701</v>
      </c>
      <c r="I94" s="12">
        <f>IFERROR('Cash Flow Data'!K21,0)</f>
        <v>53760</v>
      </c>
      <c r="J94" s="12">
        <f>IFERROR('Cash Flow Data'!L21,0)</f>
        <v>46421</v>
      </c>
      <c r="K94" s="12">
        <f>IFERROR('Cash Flow Data'!M21,0)</f>
        <v>59343</v>
      </c>
      <c r="L94" s="12">
        <f>IFERROR('Cash Flow Data'!N21,0)</f>
        <v>67134</v>
      </c>
      <c r="M94" s="12">
        <f>IFERROR('Cash Flow Data'!O21,0)</f>
        <v>0</v>
      </c>
    </row>
    <row r="95" spans="2:13" x14ac:dyDescent="0.25">
      <c r="B95" t="s">
        <v>105</v>
      </c>
      <c r="C95" s="12">
        <f>IFERROR('Cash Flow Data'!E22,0)</f>
        <v>-19835</v>
      </c>
      <c r="D95" s="12">
        <f>IFERROR('Cash Flow Data'!F22,0)</f>
        <v>-11909</v>
      </c>
      <c r="E95" s="12">
        <f>IFERROR('Cash Flow Data'!G22,0)</f>
        <v>-21693</v>
      </c>
      <c r="F95" s="12">
        <f>IFERROR('Cash Flow Data'!H22,0)</f>
        <v>-18542</v>
      </c>
      <c r="G95" s="12">
        <f>IFERROR('Cash Flow Data'!I22,0)</f>
        <v>-19813</v>
      </c>
      <c r="H95" s="12">
        <f>IFERROR('Cash Flow Data'!J22,0)</f>
        <v>-20245</v>
      </c>
      <c r="I95" s="12">
        <f>IFERROR('Cash Flow Data'!K22,0)</f>
        <v>-18179</v>
      </c>
      <c r="J95" s="12">
        <f>IFERROR('Cash Flow Data'!L22,0)</f>
        <v>-116921</v>
      </c>
      <c r="K95" s="12">
        <f>IFERROR('Cash Flow Data'!M22,0)</f>
        <v>-49493</v>
      </c>
      <c r="L95" s="12">
        <f>IFERROR('Cash Flow Data'!N22,0)</f>
        <v>-29059</v>
      </c>
      <c r="M95" s="12">
        <f>IFERROR('Cash Flow Data'!O22,0)</f>
        <v>0</v>
      </c>
    </row>
    <row r="96" spans="2:13" x14ac:dyDescent="0.25">
      <c r="B96" t="s">
        <v>106</v>
      </c>
      <c r="C96" s="12">
        <f>IFERROR('Cash Flow Data'!E23,0)</f>
        <v>-5619</v>
      </c>
      <c r="D96" s="12">
        <f>IFERROR('Cash Flow Data'!F23,0)</f>
        <v>-6149</v>
      </c>
      <c r="E96" s="12">
        <f>IFERROR('Cash Flow Data'!G23,0)</f>
        <v>-9224</v>
      </c>
      <c r="F96" s="12">
        <f>IFERROR('Cash Flow Data'!H23,0)</f>
        <v>-12920</v>
      </c>
      <c r="G96" s="12">
        <f>IFERROR('Cash Flow Data'!I23,0)</f>
        <v>-17669</v>
      </c>
      <c r="H96" s="12">
        <f>IFERROR('Cash Flow Data'!J23,0)</f>
        <v>-23338</v>
      </c>
      <c r="I96" s="12">
        <f>IFERROR('Cash Flow Data'!K23,0)</f>
        <v>-28508</v>
      </c>
      <c r="J96" s="12">
        <f>IFERROR('Cash Flow Data'!L23,0)</f>
        <v>-18340</v>
      </c>
      <c r="K96" s="12">
        <f>IFERROR('Cash Flow Data'!M23,0)</f>
        <v>-26349</v>
      </c>
      <c r="L96" s="12">
        <f>IFERROR('Cash Flow Data'!N23,0)</f>
        <v>-21650</v>
      </c>
      <c r="M96" s="12">
        <f>IFERROR('Cash Flow Data'!O23,0)</f>
        <v>0</v>
      </c>
    </row>
    <row r="97" spans="2:13" x14ac:dyDescent="0.25">
      <c r="B97" t="s">
        <v>107</v>
      </c>
      <c r="C97" s="12">
        <f>IFERROR('Cash Flow Data'!E24,0)</f>
        <v>-3123</v>
      </c>
      <c r="D97" s="12">
        <f>IFERROR('Cash Flow Data'!F24,0)</f>
        <v>-3268</v>
      </c>
      <c r="E97" s="12">
        <f>IFERROR('Cash Flow Data'!G24,0)</f>
        <v>-7259</v>
      </c>
      <c r="F97" s="12">
        <f>IFERROR('Cash Flow Data'!H24,0)</f>
        <v>-53</v>
      </c>
      <c r="G97" s="12">
        <f>IFERROR('Cash Flow Data'!I24,0)</f>
        <v>-3916</v>
      </c>
      <c r="H97" s="12">
        <f>IFERROR('Cash Flow Data'!J24,0)</f>
        <v>-4282</v>
      </c>
      <c r="I97" s="12">
        <f>IFERROR('Cash Flow Data'!K24,0)</f>
        <v>-4592</v>
      </c>
      <c r="J97" s="12">
        <f>IFERROR('Cash Flow Data'!L24,0)</f>
        <v>-3921</v>
      </c>
      <c r="K97" s="12">
        <f>IFERROR('Cash Flow Data'!M24,0)</f>
        <v>-4297</v>
      </c>
      <c r="L97" s="12">
        <f>IFERROR('Cash Flow Data'!N24,0)</f>
        <v>-5083</v>
      </c>
      <c r="M97" s="12">
        <f>IFERROR('Cash Flow Data'!O24,0)</f>
        <v>0</v>
      </c>
    </row>
    <row r="98" spans="2:13" x14ac:dyDescent="0.25">
      <c r="B98" t="s">
        <v>108</v>
      </c>
      <c r="C98" s="12">
        <f>IFERROR('Cash Flow Data'!E25,0)</f>
        <v>0</v>
      </c>
      <c r="D98" s="12">
        <f>IFERROR('Cash Flow Data'!F25,0)</f>
        <v>0</v>
      </c>
      <c r="E98" s="12">
        <f>IFERROR('Cash Flow Data'!G25,0)</f>
        <v>0</v>
      </c>
      <c r="F98" s="12">
        <f>IFERROR('Cash Flow Data'!H25,0)</f>
        <v>0</v>
      </c>
      <c r="G98" s="12">
        <f>IFERROR('Cash Flow Data'!I25,0)</f>
        <v>0</v>
      </c>
      <c r="H98" s="12">
        <f>IFERROR('Cash Flow Data'!J25,0)</f>
        <v>0</v>
      </c>
      <c r="I98" s="12">
        <f>IFERROR('Cash Flow Data'!K25,0)</f>
        <v>-1062</v>
      </c>
      <c r="J98" s="12">
        <f>IFERROR('Cash Flow Data'!L25,0)</f>
        <v>-1022</v>
      </c>
      <c r="K98" s="12">
        <f>IFERROR('Cash Flow Data'!M25,0)</f>
        <v>-2132</v>
      </c>
      <c r="L98" s="12">
        <f>IFERROR('Cash Flow Data'!N25,0)</f>
        <v>-1406</v>
      </c>
      <c r="M98" s="12">
        <f>IFERROR('Cash Flow Data'!O25,0)</f>
        <v>0</v>
      </c>
    </row>
    <row r="99" spans="2:13" x14ac:dyDescent="0.25">
      <c r="B99" t="s">
        <v>109</v>
      </c>
      <c r="C99" s="12">
        <f>IFERROR('Cash Flow Data'!E26,0)</f>
        <v>17</v>
      </c>
      <c r="D99" s="12">
        <f>IFERROR('Cash Flow Data'!F26,0)</f>
        <v>17</v>
      </c>
      <c r="E99" s="12">
        <f>IFERROR('Cash Flow Data'!G26,0)</f>
        <v>8</v>
      </c>
      <c r="F99" s="12">
        <f>IFERROR('Cash Flow Data'!H26,0)</f>
        <v>4</v>
      </c>
      <c r="G99" s="12">
        <f>IFERROR('Cash Flow Data'!I26,0)</f>
        <v>15</v>
      </c>
      <c r="H99" s="12">
        <f>IFERROR('Cash Flow Data'!J26,0)</f>
        <v>2</v>
      </c>
      <c r="I99" s="12">
        <f>IFERROR('Cash Flow Data'!K26,0)</f>
        <v>1</v>
      </c>
      <c r="J99" s="12">
        <f>IFERROR('Cash Flow Data'!L26,0)</f>
        <v>0</v>
      </c>
      <c r="K99" s="12">
        <f>IFERROR('Cash Flow Data'!M26,0)</f>
        <v>0</v>
      </c>
      <c r="L99" s="12">
        <f>IFERROR('Cash Flow Data'!N26,0)</f>
        <v>0</v>
      </c>
      <c r="M99" s="12">
        <f>IFERROR('Cash Flow Data'!O26,0)</f>
        <v>0</v>
      </c>
    </row>
    <row r="100" spans="2:13" x14ac:dyDescent="0.25">
      <c r="B100" t="s">
        <v>110</v>
      </c>
      <c r="C100" s="12">
        <f>IFERROR('Cash Flow Data'!E27,0)</f>
        <v>-67</v>
      </c>
      <c r="D100" s="12">
        <f>IFERROR('Cash Flow Data'!F27,0)</f>
        <v>-3</v>
      </c>
      <c r="E100" s="12">
        <f>IFERROR('Cash Flow Data'!G27,0)</f>
        <v>-3</v>
      </c>
      <c r="F100" s="12">
        <f>IFERROR('Cash Flow Data'!H27,0)</f>
        <v>7589</v>
      </c>
      <c r="G100" s="12">
        <f>IFERROR('Cash Flow Data'!I27,0)</f>
        <v>2006</v>
      </c>
      <c r="H100" s="12">
        <f>IFERROR('Cash Flow Data'!J27,0)</f>
        <v>-3162</v>
      </c>
      <c r="I100" s="12">
        <f>IFERROR('Cash Flow Data'!K27,0)</f>
        <v>-4090</v>
      </c>
      <c r="J100" s="12">
        <f>IFERROR('Cash Flow Data'!L27,0)</f>
        <v>195682</v>
      </c>
      <c r="K100" s="12">
        <f>IFERROR('Cash Flow Data'!M27,0)</f>
        <v>39762</v>
      </c>
      <c r="L100" s="12">
        <f>IFERROR('Cash Flow Data'!N27,0)</f>
        <v>40</v>
      </c>
      <c r="M100" s="12">
        <f>IFERROR('Cash Flow Data'!O27,0)</f>
        <v>0</v>
      </c>
    </row>
    <row r="101" spans="2:13" x14ac:dyDescent="0.25">
      <c r="B101" s="11" t="s">
        <v>115</v>
      </c>
      <c r="C101" s="21">
        <f>SUM(C93:C100)</f>
        <v>13713</v>
      </c>
      <c r="D101" s="21">
        <f t="shared" ref="D101:L101" si="25">SUM(D93:D100)</f>
        <v>8444</v>
      </c>
      <c r="E101" s="21">
        <f t="shared" si="25"/>
        <v>-3210</v>
      </c>
      <c r="F101" s="21">
        <f t="shared" si="25"/>
        <v>8617</v>
      </c>
      <c r="G101" s="21">
        <f t="shared" si="25"/>
        <v>-2001</v>
      </c>
      <c r="H101" s="21">
        <f t="shared" si="25"/>
        <v>55906</v>
      </c>
      <c r="I101" s="21">
        <f t="shared" si="25"/>
        <v>-2541</v>
      </c>
      <c r="J101" s="21">
        <f t="shared" si="25"/>
        <v>101904</v>
      </c>
      <c r="K101" s="21">
        <f t="shared" si="25"/>
        <v>17289</v>
      </c>
      <c r="L101" s="21">
        <f t="shared" si="25"/>
        <v>10455</v>
      </c>
    </row>
    <row r="103" spans="2:13" x14ac:dyDescent="0.25">
      <c r="B103" s="11" t="s">
        <v>20</v>
      </c>
      <c r="C103" s="21">
        <f>IFERROR(C79+C90+C101,0)</f>
        <v>-16096</v>
      </c>
      <c r="D103" s="21">
        <f t="shared" ref="D103:L103" si="26">IFERROR(D79+D90+D101,0)</f>
        <v>-21888</v>
      </c>
      <c r="E103" s="21">
        <f t="shared" si="26"/>
        <v>-1262</v>
      </c>
      <c r="F103" s="21">
        <f t="shared" si="26"/>
        <v>-8034</v>
      </c>
      <c r="G103" s="21">
        <f t="shared" si="26"/>
        <v>1266</v>
      </c>
      <c r="H103" s="21">
        <f t="shared" si="26"/>
        <v>3745</v>
      </c>
      <c r="I103" s="21">
        <f t="shared" si="26"/>
        <v>19839</v>
      </c>
      <c r="J103" s="21">
        <f t="shared" si="26"/>
        <v>-13523</v>
      </c>
      <c r="K103" s="21">
        <f t="shared" si="26"/>
        <v>18781</v>
      </c>
      <c r="L103" s="21">
        <f t="shared" si="26"/>
        <v>32486</v>
      </c>
    </row>
  </sheetData>
  <mergeCells count="1">
    <mergeCell ref="B2:M2"/>
  </mergeCells>
  <conditionalFormatting sqref="B67:L67">
    <cfRule type="containsText" dxfId="1" priority="1" operator="containsText" text="FALSE">
      <formula>NOT(ISERROR(SEARCH("FALSE",B67)))</formula>
    </cfRule>
  </conditionalFormatting>
  <pageMargins left="0.7" right="0.7" top="0.75" bottom="0.75" header="0.3" footer="0.3"/>
  <pageSetup paperSize="0" orientation="portrait" horizontalDpi="0" verticalDpi="0" copies="0"/>
  <ignoredErrors>
    <ignoredError sqref="M6 C15:M15 M9 M18 M21 M24 M30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6855-3619-4746-A95D-CFD9C0BE81E0}">
  <dimension ref="A2:O41"/>
  <sheetViews>
    <sheetView showGridLines="0" zoomScaleNormal="100" workbookViewId="0">
      <pane ySplit="3" topLeftCell="A4" activePane="bottomLeft" state="frozen"/>
      <selection pane="bottomLeft" activeCell="B2" sqref="B2:L2"/>
    </sheetView>
  </sheetViews>
  <sheetFormatPr defaultRowHeight="15" x14ac:dyDescent="0.25"/>
  <cols>
    <col min="1" max="1" width="1.85546875" customWidth="1"/>
    <col min="2" max="2" width="26.42578125" bestFit="1" customWidth="1"/>
    <col min="3" max="3" width="8.5703125" bestFit="1" customWidth="1"/>
    <col min="4" max="4" width="9" bestFit="1" customWidth="1"/>
    <col min="5" max="12" width="9.7109375" bestFit="1" customWidth="1"/>
    <col min="13" max="13" width="22.140625" customWidth="1"/>
    <col min="14" max="14" width="11.42578125" bestFit="1" customWidth="1"/>
    <col min="15" max="15" width="12.85546875" bestFit="1" customWidth="1"/>
  </cols>
  <sheetData>
    <row r="2" spans="1:15" x14ac:dyDescent="0.25">
      <c r="B2" s="151" t="str">
        <f>"Ratio Analysis - "&amp;'Data Sheet'!B1</f>
        <v>Ratio Analysis - RELIANCE INDUSTRIES LTD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</row>
    <row r="3" spans="1:15" x14ac:dyDescent="0.25">
      <c r="A3" s="41"/>
      <c r="B3" s="39" t="s">
        <v>55</v>
      </c>
      <c r="C3" s="40">
        <f>'Data Sheet'!B16</f>
        <v>41729</v>
      </c>
      <c r="D3" s="40">
        <f>'Data Sheet'!C16</f>
        <v>42094</v>
      </c>
      <c r="E3" s="40">
        <f>'Data Sheet'!D16</f>
        <v>42460</v>
      </c>
      <c r="F3" s="40">
        <f>'Data Sheet'!E16</f>
        <v>42825</v>
      </c>
      <c r="G3" s="40">
        <f>'Data Sheet'!F16</f>
        <v>43190</v>
      </c>
      <c r="H3" s="40">
        <f>'Data Sheet'!G16</f>
        <v>43555</v>
      </c>
      <c r="I3" s="40">
        <f>'Data Sheet'!H16</f>
        <v>43921</v>
      </c>
      <c r="J3" s="40">
        <f>'Data Sheet'!I16</f>
        <v>44286</v>
      </c>
      <c r="K3" s="40">
        <f>'Data Sheet'!J16</f>
        <v>44651</v>
      </c>
      <c r="L3" s="40">
        <f>'Data Sheet'!K16</f>
        <v>45016</v>
      </c>
      <c r="M3" s="53" t="s">
        <v>150</v>
      </c>
      <c r="N3" s="40" t="s">
        <v>148</v>
      </c>
      <c r="O3" s="40" t="s">
        <v>149</v>
      </c>
    </row>
    <row r="4" spans="1:15" x14ac:dyDescent="0.25">
      <c r="B4" s="38"/>
      <c r="C4" s="38"/>
      <c r="D4" s="38"/>
      <c r="E4" s="38"/>
      <c r="F4" s="38"/>
      <c r="G4" s="38"/>
      <c r="H4" s="38"/>
      <c r="I4" s="38"/>
      <c r="J4" s="38"/>
      <c r="K4" s="38"/>
      <c r="L4" s="42"/>
    </row>
    <row r="5" spans="1:15" x14ac:dyDescent="0.25">
      <c r="B5" t="s">
        <v>59</v>
      </c>
      <c r="C5" s="32">
        <f>IFERROR(Historical_FS!D7,0)</f>
        <v>-0.13643860389692775</v>
      </c>
      <c r="D5" s="32">
        <f>IFERROR(Historical_FS!E7,0)</f>
        <v>-0.27189266291282466</v>
      </c>
      <c r="E5" s="32">
        <f>IFERROR(Historical_FS!F7,0)</f>
        <v>0.11508788148930793</v>
      </c>
      <c r="F5" s="32">
        <f>IFERROR(Historical_FS!G7,0)</f>
        <v>0.28579653500200686</v>
      </c>
      <c r="G5" s="32">
        <f>IFERROR(Historical_FS!H7,0)</f>
        <v>0.45420561225925793</v>
      </c>
      <c r="H5" s="32">
        <f>IFERROR(Historical_FS!I7,0)</f>
        <v>4.9868299969912266E-2</v>
      </c>
      <c r="I5" s="32">
        <f>IFERROR(Historical_FS!J7,0)</f>
        <v>-0.21849604226057895</v>
      </c>
      <c r="J5" s="32">
        <f>IFERROR(Historical_FS!K7,0)</f>
        <v>0.48973315862725619</v>
      </c>
      <c r="K5" s="32">
        <f>IFERROR(Historical_FS!L7,0)</f>
        <v>0.26159502384575184</v>
      </c>
      <c r="L5" s="43">
        <f>IFERROR(Historical_FS!M7,0)</f>
        <v>-1.0022866375474115E-2</v>
      </c>
      <c r="M5" s="44"/>
      <c r="N5" s="43">
        <f>IFERROR(AVERAGE(C5:L5),0)</f>
        <v>0.10194363357476877</v>
      </c>
      <c r="O5" s="43">
        <f>IFERROR(MEDIAN(D5:M5),0)</f>
        <v>0.11508788148930793</v>
      </c>
    </row>
    <row r="6" spans="1:15" x14ac:dyDescent="0.25">
      <c r="B6" t="s">
        <v>118</v>
      </c>
      <c r="C6" s="32">
        <f>IFERROR(Historical_FS!D18/Historical_FS!C18,0)</f>
        <v>1.0719622155431516</v>
      </c>
      <c r="D6" s="32">
        <f>IFERROR(Historical_FS!E18/Historical_FS!D18,0)</f>
        <v>1.1156773211567732</v>
      </c>
      <c r="E6" s="32">
        <f>IFERROR(Historical_FS!F18/Historical_FS!E18,0)</f>
        <v>1.1083267513941744</v>
      </c>
      <c r="F6" s="32">
        <f>IFERROR(Historical_FS!G18/Historical_FS!F18,0)</f>
        <v>1.3888828902757682</v>
      </c>
      <c r="G6" s="32">
        <f>IFERROR(Historical_FS!H18/Historical_FS!G18,0)</f>
        <v>1.3099587965482391</v>
      </c>
      <c r="H6" s="32">
        <f>IFERROR(Historical_FS!I18/Historical_FS!H18,0)</f>
        <v>1.0595370919881306</v>
      </c>
      <c r="I6" s="32">
        <f>IFERROR(Historical_FS!J18/Historical_FS!I18,0)</f>
        <v>0.90504783456187121</v>
      </c>
      <c r="J6" s="32">
        <f>IFERROR(Historical_FS!K18/Historical_FS!J18,0)</f>
        <v>1.3439905928951603</v>
      </c>
      <c r="K6" s="32">
        <f>IFERROR(Historical_FS!L18/Historical_FS!K18,0)</f>
        <v>1.3107081349407355</v>
      </c>
      <c r="L6" s="45">
        <f>IFERROR(Historical_FS!M18/Historical_FS!L18,0)</f>
        <v>1.0037029750277549</v>
      </c>
      <c r="M6" s="42"/>
      <c r="N6" s="45">
        <f t="shared" ref="N6:N8" si="0">IFERROR(AVERAGE(C6:L6),0)</f>
        <v>1.1617794604331757</v>
      </c>
      <c r="O6" s="45">
        <f t="shared" ref="O6:O37" si="1">IFERROR(MEDIAN(D6:M6),0)</f>
        <v>1.1156773211567732</v>
      </c>
    </row>
    <row r="7" spans="1:15" x14ac:dyDescent="0.25">
      <c r="B7" t="s">
        <v>119</v>
      </c>
      <c r="C7" s="32">
        <f>IFERROR(Historical_FS!D27/Historical_FS!C27,0)</f>
        <v>1.1350889536636848</v>
      </c>
      <c r="D7" s="32">
        <f>IFERROR(Historical_FS!E27/Historical_FS!D27,0)</f>
        <v>1.1744000708403435</v>
      </c>
      <c r="E7" s="32">
        <f>IFERROR(Historical_FS!F27/Historical_FS!E27,0)</f>
        <v>1.1616211121583413</v>
      </c>
      <c r="F7" s="32">
        <f>IFERROR(Historical_FS!G27/Historical_FS!F27,0)</f>
        <v>1.2838179929897442</v>
      </c>
      <c r="G7" s="32">
        <f>IFERROR(Historical_FS!H27/Historical_FS!G27,0)</f>
        <v>1.183633743711606</v>
      </c>
      <c r="H7" s="32">
        <f>IFERROR(Historical_FS!I27/Historical_FS!H27,0)</f>
        <v>0.96187608124559487</v>
      </c>
      <c r="I7" s="32">
        <f>IFERROR(Historical_FS!J27/Historical_FS!I27,0)</f>
        <v>0.73339106492583706</v>
      </c>
      <c r="J7" s="32">
        <f>IFERROR(Historical_FS!K27/Historical_FS!J27,0)</f>
        <v>1.9442005510309122</v>
      </c>
      <c r="K7" s="32">
        <f>IFERROR(Historical_FS!L27/Historical_FS!K27,0)</f>
        <v>1.2838744841547924</v>
      </c>
      <c r="L7" s="45">
        <f>IFERROR(Historical_FS!M27/Historical_FS!L27,0)</f>
        <v>0.94961428363495226</v>
      </c>
      <c r="M7" s="42"/>
      <c r="N7" s="45">
        <f t="shared" si="0"/>
        <v>1.1811518338355811</v>
      </c>
      <c r="O7" s="45">
        <f t="shared" si="1"/>
        <v>1.1744000708403435</v>
      </c>
    </row>
    <row r="8" spans="1:15" x14ac:dyDescent="0.25">
      <c r="B8" t="s">
        <v>120</v>
      </c>
      <c r="C8" s="32">
        <f>IFERROR(Historical_FS!D27/Historical_FS!C27-1,0)</f>
        <v>0.13508895366368479</v>
      </c>
      <c r="D8" s="32">
        <f>IFERROR(Historical_FS!E27/Historical_FS!D27-1,0)</f>
        <v>0.17440007084034348</v>
      </c>
      <c r="E8" s="32">
        <f>IFERROR(Historical_FS!F27/Historical_FS!E27-1,0)</f>
        <v>0.1616211121583413</v>
      </c>
      <c r="F8" s="32">
        <f>IFERROR(Historical_FS!G27/Historical_FS!F27-1,0)</f>
        <v>0.28381799298974419</v>
      </c>
      <c r="G8" s="32">
        <f>IFERROR(Historical_FS!H27/Historical_FS!G27-1,0)</f>
        <v>0.18363374371160601</v>
      </c>
      <c r="H8" s="32">
        <f>IFERROR(Historical_FS!I27/Historical_FS!H27-1,0)</f>
        <v>-3.8123918754405128E-2</v>
      </c>
      <c r="I8" s="32">
        <f>IFERROR(Historical_FS!J27/Historical_FS!I27-1,0)</f>
        <v>-0.26660893507416294</v>
      </c>
      <c r="J8" s="32">
        <f>IFERROR(Historical_FS!K27/Historical_FS!J27-1,0)</f>
        <v>0.94420055103091216</v>
      </c>
      <c r="K8" s="32">
        <f>IFERROR(Historical_FS!L27/Historical_FS!K27-1,0)</f>
        <v>0.28387448415479244</v>
      </c>
      <c r="L8" s="45">
        <f>IFERROR(Historical_FS!M27/Historical_FS!L27-1,0)</f>
        <v>-5.0385716365047739E-2</v>
      </c>
      <c r="M8" s="42"/>
      <c r="N8" s="45">
        <f t="shared" si="0"/>
        <v>0.18115183383558087</v>
      </c>
      <c r="O8" s="45">
        <f t="shared" si="1"/>
        <v>0.17440007084034348</v>
      </c>
    </row>
    <row r="9" spans="1:15" x14ac:dyDescent="0.25">
      <c r="B9" t="s">
        <v>121</v>
      </c>
      <c r="C9" s="32">
        <f>IFERROR(Historical_FS!D41/Historical_FS!C41-1,0)</f>
        <v>5.2484500599921713E-2</v>
      </c>
      <c r="D9" s="32">
        <f>IFERROR(Historical_FS!E41/Historical_FS!D41-1,0)</f>
        <v>5.0262391998132427E-2</v>
      </c>
      <c r="E9" s="32">
        <f>IFERROR(Historical_FS!F41/Historical_FS!E41-1,0)</f>
        <v>4.79806333968813E-2</v>
      </c>
      <c r="F9" s="32">
        <f>IFERROR(Historical_FS!G41/Historical_FS!F41-1,0)</f>
        <v>0.12059760875183789</v>
      </c>
      <c r="G9" s="32">
        <f>IFERROR(Historical_FS!H41/Historical_FS!G41-1,0)</f>
        <v>8.3375632674662858E-2</v>
      </c>
      <c r="H9" s="32">
        <f>IFERROR(Historical_FS!I41/Historical_FS!H41-1,0)</f>
        <v>6.9597962361796162E-2</v>
      </c>
      <c r="I9" s="32">
        <f>IFERROR(Historical_FS!J41/Historical_FS!I41-1,0)</f>
        <v>0.16790479522729762</v>
      </c>
      <c r="J9" s="32">
        <f>IFERROR(Historical_FS!K41/Historical_FS!J41-1,0)</f>
        <v>0.12414828064820838</v>
      </c>
      <c r="K9" s="32">
        <f>IFERROR(Historical_FS!L41/Historical_FS!K41-1,0)</f>
        <v>0.12504988225291025</v>
      </c>
      <c r="L9" s="46">
        <f>IFERROR(Historical_FS!M41/Historical_FS!L41-1,0)</f>
        <v>-1</v>
      </c>
      <c r="M9" s="38"/>
      <c r="N9" s="46"/>
      <c r="O9" s="46">
        <f t="shared" si="1"/>
        <v>8.3375632674662858E-2</v>
      </c>
    </row>
    <row r="10" spans="1:15" x14ac:dyDescent="0.25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42"/>
      <c r="N10" s="32"/>
      <c r="O10" s="32"/>
    </row>
    <row r="11" spans="1:15" x14ac:dyDescent="0.25">
      <c r="B11" t="s">
        <v>122</v>
      </c>
      <c r="C11" s="32">
        <f>IFERROR(Historical_FS!C13,0)</f>
        <v>0.10638008308709382</v>
      </c>
      <c r="D11" s="32">
        <f>IFERROR(Historical_FS!D13,0)</f>
        <v>0.13860278012244506</v>
      </c>
      <c r="E11" s="32">
        <f>IFERROR(Historical_FS!E13,0)</f>
        <v>0.21039096348635095</v>
      </c>
      <c r="F11" s="32">
        <f>IFERROR(Historical_FS!F13,0)</f>
        <v>0.20432697052843524</v>
      </c>
      <c r="G11" s="32">
        <f>IFERROR(Historical_FS!G13,0)</f>
        <v>0.22919326651706784</v>
      </c>
      <c r="H11" s="32">
        <f>IFERROR(Historical_FS!H13,0)</f>
        <v>0.23249410121107722</v>
      </c>
      <c r="I11" s="32">
        <f>IFERROR(Historical_FS!I13,0)</f>
        <v>0.25278583627042345</v>
      </c>
      <c r="J11" s="32">
        <f>IFERROR(Historical_FS!J13,0)</f>
        <v>0.29570218761459727</v>
      </c>
      <c r="K11" s="32">
        <f>IFERROR(Historical_FS!K13,0)</f>
        <v>0.24881778908925495</v>
      </c>
      <c r="L11" s="43">
        <f>IFERROR(Historical_FS!L13,0)</f>
        <v>0.24911227344716316</v>
      </c>
      <c r="M11" s="44"/>
      <c r="N11" s="43">
        <f>IFERROR(AVERAGE(C11:L11),0)</f>
        <v>0.21678062513739088</v>
      </c>
      <c r="O11" s="43">
        <f t="shared" si="1"/>
        <v>0.23249410121107722</v>
      </c>
    </row>
    <row r="12" spans="1:15" x14ac:dyDescent="0.25">
      <c r="B12" t="s">
        <v>123</v>
      </c>
      <c r="C12" s="32"/>
      <c r="D12" s="32"/>
      <c r="E12" s="32"/>
      <c r="F12" s="32"/>
      <c r="G12" s="32"/>
      <c r="H12" s="32"/>
      <c r="I12" s="32"/>
      <c r="J12" s="32"/>
      <c r="K12" s="32"/>
      <c r="L12" s="45"/>
      <c r="M12" s="42"/>
      <c r="N12" s="45"/>
      <c r="O12" s="45"/>
    </row>
    <row r="13" spans="1:15" x14ac:dyDescent="0.25">
      <c r="B13" t="s">
        <v>124</v>
      </c>
      <c r="C13" s="32">
        <f>IFERROR(Historical_FS!C19,0)</f>
        <v>8.0584331554872768E-2</v>
      </c>
      <c r="D13" s="32">
        <f>IFERROR(Historical_FS!D19,0)</f>
        <v>0.10003151945124102</v>
      </c>
      <c r="E13" s="32">
        <f>IFERROR(Historical_FS!E19,0)</f>
        <v>0.15327808410649232</v>
      </c>
      <c r="F13" s="32">
        <f>IFERROR(Historical_FS!F19,0)</f>
        <v>0.15234871066016567</v>
      </c>
      <c r="G13" s="32">
        <f>IFERROR(Historical_FS!G19,0)</f>
        <v>0.16456298631349742</v>
      </c>
      <c r="H13" s="32">
        <f>IFERROR(Historical_FS!H19,0)</f>
        <v>0.14823951282425743</v>
      </c>
      <c r="I13" s="32">
        <f>IFERROR(Historical_FS!I19,0)</f>
        <v>0.1496047288408005</v>
      </c>
      <c r="J13" s="32">
        <f>IFERROR(Historical_FS!J19,0)</f>
        <v>0.17325495864312568</v>
      </c>
      <c r="K13" s="32">
        <f>IFERROR(Historical_FS!K19,0)</f>
        <v>0.15630519683361813</v>
      </c>
      <c r="L13" s="45">
        <f>IFERROR(Historical_FS!L19,0)</f>
        <v>0.16239006111392568</v>
      </c>
      <c r="M13" s="42"/>
      <c r="N13" s="45">
        <f t="shared" ref="N13:N16" si="2">IFERROR(AVERAGE(C13:L13),0)</f>
        <v>0.14406000903419966</v>
      </c>
      <c r="O13" s="45">
        <f t="shared" si="1"/>
        <v>0.15327808410649232</v>
      </c>
    </row>
    <row r="14" spans="1:15" x14ac:dyDescent="0.25">
      <c r="B14" t="s">
        <v>125</v>
      </c>
      <c r="C14" s="32">
        <f>IFERROR((Historical_FS!C18-Historical_FS!C24)/Historical_FS!C6,0)</f>
        <v>5.4747059542674982E-2</v>
      </c>
      <c r="D14" s="32">
        <f>IFERROR((Historical_FS!D18-Historical_FS!D24)/Historical_FS!D6,0)</f>
        <v>6.9187866613956178E-2</v>
      </c>
      <c r="E14" s="32">
        <f>IFERROR((Historical_FS!E18-Historical_FS!E24)/Historical_FS!E6,0)</f>
        <v>0.11085063998855395</v>
      </c>
      <c r="F14" s="32">
        <f>IFERROR((Historical_FS!F18-Historical_FS!F24)/Historical_FS!F6,0)</f>
        <v>0.11403370246813663</v>
      </c>
      <c r="G14" s="32">
        <f>IFERROR((Historical_FS!G18-Historical_FS!G24)/Historical_FS!G6,0)</f>
        <v>0.12181729325039724</v>
      </c>
      <c r="H14" s="32">
        <f>IFERROR((Historical_FS!H18-Historical_FS!H24)/Historical_FS!H6,0)</f>
        <v>0.11140573286623957</v>
      </c>
      <c r="I14" s="32">
        <f>IFERROR((Historical_FS!I18-Historical_FS!I24)/Historical_FS!I6,0)</f>
        <v>0.11239376616237541</v>
      </c>
      <c r="J14" s="32">
        <f>IFERROR((Historical_FS!J18-Historical_FS!J24)/Historical_FS!J6,0)</f>
        <v>0.11627104032322054</v>
      </c>
      <c r="K14" s="32">
        <f>IFERROR((Historical_FS!K18-Historical_FS!K24)/Historical_FS!K6,0)</f>
        <v>0.11343322685637702</v>
      </c>
      <c r="L14" s="45">
        <f>IFERROR((Historical_FS!L18-Historical_FS!L24)/Historical_FS!L6,0)</f>
        <v>0.11640285898155628</v>
      </c>
      <c r="M14" s="42"/>
      <c r="N14" s="45">
        <f t="shared" si="2"/>
        <v>0.10405431870534879</v>
      </c>
      <c r="O14" s="45">
        <f t="shared" si="1"/>
        <v>0.11343322685637702</v>
      </c>
    </row>
    <row r="15" spans="1:15" x14ac:dyDescent="0.25">
      <c r="B15" t="s">
        <v>126</v>
      </c>
      <c r="C15" s="32">
        <f>IFERROR(Historical_FS!C28,0)</f>
        <v>4.5898583920963458E-2</v>
      </c>
      <c r="D15" s="32">
        <f>IFERROR(Historical_FS!D28,0)</f>
        <v>6.033036658724477E-2</v>
      </c>
      <c r="E15" s="32">
        <f>IFERROR(Historical_FS!E28,0)</f>
        <v>9.7309810222941273E-2</v>
      </c>
      <c r="F15" s="32">
        <f>IFERROR(Historical_FS!F28,0)</f>
        <v>0.10137060213058555</v>
      </c>
      <c r="G15" s="32">
        <f>IFERROR(Historical_FS!G28,0)</f>
        <v>0.10121461633527198</v>
      </c>
      <c r="H15" s="32">
        <f>IFERROR(Historical_FS!H28,0)</f>
        <v>8.238245970260602E-2</v>
      </c>
      <c r="I15" s="32">
        <f>IFERROR(Historical_FS!I28,0)</f>
        <v>7.5477769453927493E-2</v>
      </c>
      <c r="J15" s="32">
        <f>IFERROR(Historical_FS!J28,0)</f>
        <v>7.0831019049681865E-2</v>
      </c>
      <c r="K15" s="32">
        <f>IFERROR(Historical_FS!K28,0)</f>
        <v>9.2439176418257218E-2</v>
      </c>
      <c r="L15" s="45">
        <f>IFERROR(Historical_FS!L28,0)</f>
        <v>9.4071629719898311E-2</v>
      </c>
      <c r="M15" s="42"/>
      <c r="N15" s="45">
        <f t="shared" si="2"/>
        <v>8.2132603354137801E-2</v>
      </c>
      <c r="O15" s="45">
        <f t="shared" si="1"/>
        <v>9.2439176418257218E-2</v>
      </c>
    </row>
    <row r="16" spans="1:15" x14ac:dyDescent="0.25">
      <c r="B16" t="s">
        <v>127</v>
      </c>
      <c r="C16" s="32">
        <f>IFERROR(Historical_FS!C34,0)</f>
        <v>3.1562484862325012E-2</v>
      </c>
      <c r="D16" s="32">
        <f>IFERROR(Historical_FS!D34,0)</f>
        <v>4.0366266707980297E-2</v>
      </c>
      <c r="E16" s="32">
        <f>IFERROR(Historical_FS!E34,0)</f>
        <v>6.4747251295935546E-2</v>
      </c>
      <c r="F16" s="32">
        <f>IFERROR(Historical_FS!F34,0)</f>
        <v>6.7809602768840016E-2</v>
      </c>
      <c r="G16" s="32">
        <f>IFERROR(Historical_FS!G34,0)</f>
        <v>6.7066165502030331E-2</v>
      </c>
      <c r="H16" s="32">
        <f>IFERROR(Historical_FS!H34,0)</f>
        <v>5.5303455520228313E-2</v>
      </c>
      <c r="I16" s="32">
        <f>IFERROR(Historical_FS!I34,0)</f>
        <v>5.247377568173172E-2</v>
      </c>
      <c r="J16" s="32">
        <f>IFERROR(Historical_FS!J34,0)</f>
        <v>6.7138172920415087E-2</v>
      </c>
      <c r="K16" s="32">
        <f>IFERROR(Historical_FS!K34,0)</f>
        <v>6.944994263488001E-2</v>
      </c>
      <c r="L16" s="46">
        <f>IFERROR(Historical_FS!L34,0)</f>
        <v>7.0821865914495269E-2</v>
      </c>
      <c r="M16" s="38"/>
      <c r="N16" s="46">
        <f t="shared" si="2"/>
        <v>5.8673898380886158E-2</v>
      </c>
      <c r="O16" s="46">
        <f t="shared" si="1"/>
        <v>6.7066165502030331E-2</v>
      </c>
    </row>
    <row r="17" spans="2:15" x14ac:dyDescent="0.25"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46"/>
      <c r="N17" s="32"/>
      <c r="O17" s="32"/>
    </row>
    <row r="18" spans="2:15" x14ac:dyDescent="0.25">
      <c r="B18" t="s">
        <v>128</v>
      </c>
      <c r="C18" s="32">
        <f>IFERROR(Historical_FS!C16,0)</f>
        <v>2.5795751532221047E-2</v>
      </c>
      <c r="D18" s="32">
        <f>IFERROR(Historical_FS!D16,0)</f>
        <v>3.857126067120404E-2</v>
      </c>
      <c r="E18" s="32">
        <f>IFERROR(Historical_FS!E16,0)</f>
        <v>5.7112879379858615E-2</v>
      </c>
      <c r="F18" s="32">
        <f>IFERROR(Historical_FS!F16,0)</f>
        <v>5.1978259868269538E-2</v>
      </c>
      <c r="G18" s="32">
        <f>IFERROR(Historical_FS!G16,0)</f>
        <v>6.4630280203570409E-2</v>
      </c>
      <c r="H18" s="32">
        <f>IFERROR(Historical_FS!H16,0)</f>
        <v>8.425458838681979E-2</v>
      </c>
      <c r="I18" s="32">
        <f>IFERROR(Historical_FS!I16,0)</f>
        <v>0.10318110742962296</v>
      </c>
      <c r="J18" s="32">
        <f>IFERROR(Historical_FS!J16,0)</f>
        <v>0.12244722897147159</v>
      </c>
      <c r="K18" s="32">
        <f>IFERROR(Historical_FS!K16,0)</f>
        <v>9.2512592255636822E-2</v>
      </c>
      <c r="L18" s="32">
        <f>IFERROR(Historical_FS!L16,0)</f>
        <v>8.6722212333237486E-2</v>
      </c>
      <c r="M18" s="44"/>
      <c r="N18" s="43">
        <f>IFERROR(AVERAGE(C18:L18),0)</f>
        <v>7.2720616103191221E-2</v>
      </c>
      <c r="O18" s="43">
        <f t="shared" si="1"/>
        <v>8.425458838681979E-2</v>
      </c>
    </row>
    <row r="19" spans="2:15" x14ac:dyDescent="0.25">
      <c r="B19" t="s">
        <v>129</v>
      </c>
      <c r="C19" s="32">
        <f>IFERROR(Historical_FS!C25,0)</f>
        <v>2.5837272012197793E-2</v>
      </c>
      <c r="D19" s="32">
        <f>IFERROR(Historical_FS!D25,0)</f>
        <v>3.0843652837284841E-2</v>
      </c>
      <c r="E19" s="32">
        <f>IFERROR(Historical_FS!E25,0)</f>
        <v>4.242744411793839E-2</v>
      </c>
      <c r="F19" s="32">
        <f>IFERROR(Historical_FS!F25,0)</f>
        <v>3.8315008192029057E-2</v>
      </c>
      <c r="G19" s="32">
        <f>IFERROR(Historical_FS!G25,0)</f>
        <v>4.2745693063100179E-2</v>
      </c>
      <c r="H19" s="32">
        <f>IFERROR(Historical_FS!H25,0)</f>
        <v>3.6833779958017863E-2</v>
      </c>
      <c r="I19" s="32">
        <f>IFERROR(Historical_FS!I25,0)</f>
        <v>3.721096267842508E-2</v>
      </c>
      <c r="J19" s="32">
        <f>IFERROR(Historical_FS!J25,0)</f>
        <v>5.6983918319905125E-2</v>
      </c>
      <c r="K19" s="32">
        <f>IFERROR(Historical_FS!K25,0)</f>
        <v>4.2871969977241089E-2</v>
      </c>
      <c r="L19" s="32">
        <f>IFERROR(Historical_FS!L25,0)</f>
        <v>4.5987202132369384E-2</v>
      </c>
      <c r="M19" s="42"/>
      <c r="N19" s="45">
        <f>IFERROR(AVERAGE(C19:L19),0)</f>
        <v>4.0005690328850881E-2</v>
      </c>
      <c r="O19" s="45">
        <f t="shared" si="1"/>
        <v>4.242744411793839E-2</v>
      </c>
    </row>
    <row r="20" spans="2:15" x14ac:dyDescent="0.25">
      <c r="B20" t="s">
        <v>130</v>
      </c>
      <c r="C20" s="32">
        <f>C14</f>
        <v>5.4747059542674982E-2</v>
      </c>
      <c r="D20" s="32">
        <f t="shared" ref="D20:L20" si="3">D14</f>
        <v>6.9187866613956178E-2</v>
      </c>
      <c r="E20" s="32">
        <f t="shared" si="3"/>
        <v>0.11085063998855395</v>
      </c>
      <c r="F20" s="32">
        <f t="shared" si="3"/>
        <v>0.11403370246813663</v>
      </c>
      <c r="G20" s="32">
        <f t="shared" si="3"/>
        <v>0.12181729325039724</v>
      </c>
      <c r="H20" s="32">
        <f t="shared" si="3"/>
        <v>0.11140573286623957</v>
      </c>
      <c r="I20" s="32">
        <f t="shared" si="3"/>
        <v>0.11239376616237541</v>
      </c>
      <c r="J20" s="32">
        <f t="shared" si="3"/>
        <v>0.11627104032322054</v>
      </c>
      <c r="K20" s="32">
        <f t="shared" si="3"/>
        <v>0.11343322685637702</v>
      </c>
      <c r="L20" s="32">
        <f t="shared" si="3"/>
        <v>0.11640285898155628</v>
      </c>
      <c r="M20" s="38"/>
      <c r="N20" s="46">
        <f>IFERROR(AVERAGE(C20:L20),0)</f>
        <v>0.10405431870534879</v>
      </c>
      <c r="O20" s="46">
        <f t="shared" si="1"/>
        <v>0.11343322685637702</v>
      </c>
    </row>
    <row r="21" spans="2:15" x14ac:dyDescent="0.25"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N21" s="32"/>
      <c r="O21" s="32"/>
    </row>
    <row r="22" spans="2:15" x14ac:dyDescent="0.25">
      <c r="B22" t="s">
        <v>131</v>
      </c>
      <c r="C22" s="32">
        <f>IFERROR((Historical_FS!C18-Historical_FS!C24)/(SUM(Historical_FS!C48:C50)),0)</f>
        <v>7.033379957800906E-2</v>
      </c>
      <c r="D22" s="32">
        <f>IFERROR((Historical_FS!D18-Historical_FS!D24)/(SUM(Historical_FS!D48:D50)),0)</f>
        <v>6.6973497091144155E-2</v>
      </c>
      <c r="E22" s="32">
        <f>IFERROR((Historical_FS!E18-Historical_FS!E24)/(SUM(Historical_FS!E48:E50)),0)</f>
        <v>7.0884650573580121E-2</v>
      </c>
      <c r="F22" s="32">
        <f>IFERROR((Historical_FS!F18-Historical_FS!F24)/(SUM(Historical_FS!F48:F50)),0)</f>
        <v>7.203273591806876E-2</v>
      </c>
      <c r="G22" s="32">
        <f>IFERROR((Historical_FS!G18-Historical_FS!G24)/(SUM(Historical_FS!G48:G50)),0)</f>
        <v>8.9264252862572169E-2</v>
      </c>
      <c r="H22" s="32">
        <f>IFERROR((Historical_FS!H18-Historical_FS!H24)/(SUM(Historical_FS!H48:H50)),0)</f>
        <v>9.1124972295222109E-2</v>
      </c>
      <c r="I22" s="32">
        <f>IFERROR((Historical_FS!I18-Historical_FS!I24)/(SUM(Historical_FS!I48:I50)),0)</f>
        <v>8.3380683054436217E-2</v>
      </c>
      <c r="J22" s="32">
        <f>IFERROR((Historical_FS!J18-Historical_FS!J24)/(SUM(Historical_FS!J48:J50)),0)</f>
        <v>5.5373421819689642E-2</v>
      </c>
      <c r="K22" s="32">
        <f>IFERROR((Historical_FS!K18-Historical_FS!K24)/(SUM(Historical_FS!K48:K50)),0)</f>
        <v>7.1723935800801539E-2</v>
      </c>
      <c r="L22" s="32">
        <f>IFERROR((Historical_FS!L18-Historical_FS!L24)/(SUM(Historical_FS!L48:L50)),0)</f>
        <v>8.737632073015307E-2</v>
      </c>
      <c r="M22" s="44"/>
      <c r="N22" s="43">
        <f>IFERROR(AVERAGE(C22:L22),0)</f>
        <v>7.5846826972367679E-2</v>
      </c>
      <c r="O22" s="43">
        <f t="shared" si="1"/>
        <v>7.203273591806876E-2</v>
      </c>
    </row>
    <row r="23" spans="2:15" x14ac:dyDescent="0.25">
      <c r="B23" t="s">
        <v>132</v>
      </c>
      <c r="C23" s="32">
        <f>IFERROR(Historical_FS!C44,0)</f>
        <v>0.7958780969085727</v>
      </c>
      <c r="D23" s="32">
        <f>IFERROR(Historical_FS!D44,0)</f>
        <v>0.80525410269984121</v>
      </c>
      <c r="E23" s="32">
        <f>IFERROR(Historical_FS!E44,0)</f>
        <v>0.8246132925378209</v>
      </c>
      <c r="F23" s="32">
        <f>IFERROR(Historical_FS!F44,0)</f>
        <v>0.84207947212653433</v>
      </c>
      <c r="G23" s="32">
        <f>IFERROR(Historical_FS!G44,0)</f>
        <v>0.86443859448323224</v>
      </c>
      <c r="H23" s="32">
        <f>IFERROR(Historical_FS!H44,0)</f>
        <v>0.87744901530336294</v>
      </c>
      <c r="I23" s="32">
        <f>IFERROR(Historical_FS!I44,0)</f>
        <v>0.86840146917917593</v>
      </c>
      <c r="J23" s="32">
        <f>IFERROR(Historical_FS!J44,0)</f>
        <v>0.85589484779761715</v>
      </c>
      <c r="K23" s="32">
        <f>IFERROR(Historical_FS!K44,0)</f>
        <v>0.88782257228728367</v>
      </c>
      <c r="L23" s="32">
        <f>IFERROR(Historical_FS!L44,0)</f>
        <v>0.90189147386737123</v>
      </c>
      <c r="M23" s="42"/>
      <c r="N23" s="45">
        <f t="shared" ref="N23:N26" si="4">IFERROR(AVERAGE(C23:L23),0)</f>
        <v>0.85237229371908119</v>
      </c>
      <c r="O23" s="45">
        <f t="shared" si="1"/>
        <v>0.86443859448323224</v>
      </c>
    </row>
    <row r="24" spans="2:15" x14ac:dyDescent="0.25">
      <c r="B24" t="s">
        <v>133</v>
      </c>
      <c r="C24" s="32">
        <f>IFERROR(Historical_FS!C33/SUM(Historical_FS!C48:C49),0)</f>
        <v>6.8867112594180796E-2</v>
      </c>
      <c r="D24" s="32">
        <f>IFERROR(Historical_FS!D33/SUM(Historical_FS!D48:D49),0)</f>
        <v>6.9162787930379541E-2</v>
      </c>
      <c r="E24" s="32">
        <f>IFERROR(Historical_FS!E33/SUM(Historical_FS!E48:E49),0)</f>
        <v>7.6219143533313757E-2</v>
      </c>
      <c r="F24" s="32">
        <f>IFERROR(Historical_FS!F33/SUM(Historical_FS!F48:F49),0)</f>
        <v>7.8158121262452168E-2</v>
      </c>
      <c r="G24" s="32">
        <f>IFERROR(Historical_FS!G33/SUM(Historical_FS!G48:G49),0)</f>
        <v>8.9303114757449592E-2</v>
      </c>
      <c r="H24" s="32">
        <f>IFERROR(Historical_FS!H33/SUM(Historical_FS!H48:H49),0)</f>
        <v>8.119355638678212E-2</v>
      </c>
      <c r="I24" s="32">
        <f>IFERROR(Historical_FS!I33/SUM(Historical_FS!I48:I49),0)</f>
        <v>6.970696802518446E-2</v>
      </c>
      <c r="J24" s="32">
        <f>IFERROR(Historical_FS!J33/SUM(Historical_FS!J48:J49),0)</f>
        <v>4.4713299017955586E-2</v>
      </c>
      <c r="K24" s="32">
        <f>IFERROR(Historical_FS!K33/SUM(Historical_FS!K48:K49),0)</f>
        <v>6.1893429636234183E-2</v>
      </c>
      <c r="L24" s="32">
        <f>IFERROR(Historical_FS!L33/SUM(Historical_FS!L48:L49),0)</f>
        <v>8.670265075320728E-2</v>
      </c>
      <c r="M24" s="42"/>
      <c r="N24" s="45">
        <f t="shared" si="4"/>
        <v>7.259201838971395E-2</v>
      </c>
      <c r="O24" s="45">
        <f t="shared" si="1"/>
        <v>7.6219143533313757E-2</v>
      </c>
    </row>
    <row r="25" spans="2:15" x14ac:dyDescent="0.25">
      <c r="B25" t="s">
        <v>134</v>
      </c>
      <c r="C25" s="32">
        <f>IFERROR(C23*C24,0)</f>
        <v>5.4809826511045011E-2</v>
      </c>
      <c r="D25" s="32">
        <f t="shared" ref="D25:L25" si="5">IFERROR(D23*D24,0)</f>
        <v>5.5693618735097185E-2</v>
      </c>
      <c r="E25" s="32">
        <f t="shared" si="5"/>
        <v>6.2851318903418621E-2</v>
      </c>
      <c r="F25" s="32">
        <f t="shared" si="5"/>
        <v>6.5815349495087383E-2</v>
      </c>
      <c r="G25" s="32">
        <f t="shared" si="5"/>
        <v>7.7197059003904514E-2</v>
      </c>
      <c r="H25" s="32">
        <f t="shared" si="5"/>
        <v>7.124320610056005E-2</v>
      </c>
      <c r="I25" s="32">
        <f t="shared" si="5"/>
        <v>6.0533633445096026E-2</v>
      </c>
      <c r="J25" s="32">
        <f t="shared" si="5"/>
        <v>3.8269882257502441E-2</v>
      </c>
      <c r="K25" s="32">
        <f t="shared" si="5"/>
        <v>5.495038390732343E-2</v>
      </c>
      <c r="L25" s="32">
        <f t="shared" si="5"/>
        <v>7.8196381476018054E-2</v>
      </c>
      <c r="M25" s="42"/>
      <c r="N25" s="45">
        <f t="shared" si="4"/>
        <v>6.1956065983505268E-2</v>
      </c>
      <c r="O25" s="45">
        <f t="shared" si="1"/>
        <v>6.2851318903418621E-2</v>
      </c>
    </row>
    <row r="26" spans="2:15" x14ac:dyDescent="0.25">
      <c r="B26" t="s">
        <v>135</v>
      </c>
      <c r="C26" s="33">
        <f>(Historical_FS!C18-Historical_FS!C24)/Historical_FS!C21</f>
        <v>6.1871741397288842</v>
      </c>
      <c r="D26" s="33">
        <f>(Historical_FS!D18-Historical_FS!D24)/Historical_FS!D21</f>
        <v>7.8112183353437876</v>
      </c>
      <c r="E26" s="33">
        <f>(Historical_FS!E18-Historical_FS!E24)/Historical_FS!E21</f>
        <v>8.1863993497697098</v>
      </c>
      <c r="F26" s="33">
        <f>(Historical_FS!F18-Historical_FS!F24)/Historical_FS!F21</f>
        <v>9.0051961548454145</v>
      </c>
      <c r="G26" s="33">
        <f>(Historical_FS!G18-Historical_FS!G24)/Historical_FS!G21</f>
        <v>5.9126924987580729</v>
      </c>
      <c r="H26" s="33">
        <f>(Historical_FS!H18-Historical_FS!H24)/Historical_FS!H21</f>
        <v>3.8384965140951803</v>
      </c>
      <c r="I26" s="33">
        <f>(Historical_FS!I18-Historical_FS!I24)/Historical_FS!I21</f>
        <v>3.0445816497934355</v>
      </c>
      <c r="J26" s="33">
        <f>(Historical_FS!J18-Historical_FS!J24)/Historical_FS!J21</f>
        <v>2.5587804993156826</v>
      </c>
      <c r="K26" s="33">
        <f>(Historical_FS!K18-Historical_FS!K24)/Historical_FS!K21</f>
        <v>5.4031130005485464</v>
      </c>
      <c r="L26" s="33">
        <f>(Historical_FS!L18-Historical_FS!L24)/Historical_FS!L21</f>
        <v>5.2125593991109298</v>
      </c>
      <c r="M26" s="38"/>
      <c r="N26" s="47">
        <f t="shared" si="4"/>
        <v>5.7160211541309645</v>
      </c>
      <c r="O26" s="47">
        <f t="shared" si="1"/>
        <v>5.4031130005485464</v>
      </c>
    </row>
    <row r="27" spans="2:15" x14ac:dyDescent="0.25"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N27" s="32"/>
    </row>
    <row r="28" spans="2:15" x14ac:dyDescent="0.25">
      <c r="B28" t="s">
        <v>136</v>
      </c>
      <c r="C28" s="33">
        <f>IFERROR(Historical_FS!C6/Historical_FS!C60,0)</f>
        <v>46.065349059611094</v>
      </c>
      <c r="D28" s="33">
        <f>IFERROR(Historical_FS!D6/Historical_FS!D60,0)</f>
        <v>70.43687676387583</v>
      </c>
      <c r="E28" s="33">
        <f>IFERROR(Historical_FS!E6/Historical_FS!E60,0)</f>
        <v>61.048824188129899</v>
      </c>
      <c r="F28" s="33">
        <f>IFERROR(Historical_FS!F6/Historical_FS!F60,0)</f>
        <v>37.171823407117522</v>
      </c>
      <c r="G28" s="33">
        <f>IFERROR(Historical_FS!G6/Historical_FS!G60,0)</f>
        <v>22.262774138422103</v>
      </c>
      <c r="H28" s="33">
        <f>IFERROR(Historical_FS!H6/Historical_FS!H60,0)</f>
        <v>18.88853069227957</v>
      </c>
      <c r="I28" s="33">
        <f>IFERROR(Historical_FS!I6/Historical_FS!I60,0)</f>
        <v>30.356074481074479</v>
      </c>
      <c r="J28" s="33">
        <f>IFERROR(Historical_FS!J6/Historical_FS!J60,0)</f>
        <v>24.524403071421059</v>
      </c>
      <c r="K28" s="33">
        <f>IFERROR(Historical_FS!K6/Historical_FS!K60,0)</f>
        <v>29.385490693739424</v>
      </c>
      <c r="L28" s="33">
        <f>IFERROR(Historical_FS!L6/Historical_FS!L60,0)</f>
        <v>30.806946006749158</v>
      </c>
      <c r="M28" s="44"/>
      <c r="N28" s="48">
        <f>IFERROR(AVERAGE(C28:L28),0)</f>
        <v>37.094709250242019</v>
      </c>
      <c r="O28" s="48">
        <f t="shared" si="1"/>
        <v>30.356074481074479</v>
      </c>
    </row>
    <row r="29" spans="2:15" x14ac:dyDescent="0.25">
      <c r="B29" t="s">
        <v>137</v>
      </c>
      <c r="C29" s="33">
        <f>IFERROR(Historical_FS!C6/Historical_FS!C51,0)</f>
        <v>4.7433776464795665</v>
      </c>
      <c r="D29" s="33">
        <f>IFERROR(Historical_FS!D6/Historical_FS!D51,0)</f>
        <v>3.179758102874227</v>
      </c>
      <c r="E29" s="33">
        <f>IFERROR(Historical_FS!E6/Historical_FS!E51,0)</f>
        <v>1.5781145970230479</v>
      </c>
      <c r="F29" s="33">
        <f>IFERROR(Historical_FS!F6/Historical_FS!F51,0)</f>
        <v>1.3472063399196872</v>
      </c>
      <c r="G29" s="33">
        <f>IFERROR(Historical_FS!G6/Historical_FS!G51,0)</f>
        <v>1.4062225644420776</v>
      </c>
      <c r="H29" s="33">
        <f>IFERROR(Historical_FS!H6/Historical_FS!H51,0)</f>
        <v>1.8769137792103143</v>
      </c>
      <c r="I29" s="33">
        <f>IFERROR(Historical_FS!I6/Historical_FS!I51,0)</f>
        <v>1.6633743685812732</v>
      </c>
      <c r="J29" s="33">
        <f>IFERROR(Historical_FS!J6/Historical_FS!J51,0)</f>
        <v>1.3677459661925726</v>
      </c>
      <c r="K29" s="33">
        <f>IFERROR(Historical_FS!K6/Historical_FS!K51,0)</f>
        <v>1.7367736806182326</v>
      </c>
      <c r="L29" s="33">
        <f>IFERROR(Historical_FS!L6/Historical_FS!L51,0)</f>
        <v>1.9993247343422775</v>
      </c>
      <c r="M29" s="42"/>
      <c r="N29" s="49">
        <f t="shared" ref="N29:N32" si="6">IFERROR(AVERAGE(C29:L29),0)</f>
        <v>2.0898811779683273</v>
      </c>
      <c r="O29" s="49">
        <f t="shared" si="1"/>
        <v>1.6633743685812732</v>
      </c>
    </row>
    <row r="30" spans="2:15" x14ac:dyDescent="0.25">
      <c r="B30" t="s">
        <v>139</v>
      </c>
      <c r="C30" s="33">
        <f>IFERROR(Historical_FS!C6/Historical_FS!C61,0)</f>
        <v>7.6431770098730603</v>
      </c>
      <c r="D30" s="33">
        <f>IFERROR(Historical_FS!D6/Historical_FS!D61,0)</f>
        <v>7.0307241586538458</v>
      </c>
      <c r="E30" s="33">
        <f>IFERROR(Historical_FS!E6/Historical_FS!E61,0)</f>
        <v>5.8637654347545496</v>
      </c>
      <c r="F30" s="33">
        <f>IFERROR(Historical_FS!F6/Historical_FS!F61,0)</f>
        <v>6.2093522093522093</v>
      </c>
      <c r="G30" s="33">
        <f>IFERROR(Historical_FS!G6/Historical_FS!G61,0)</f>
        <v>6.4241004651774416</v>
      </c>
      <c r="H30" s="33">
        <f>IFERROR(Historical_FS!H6/Historical_FS!H61,0)</f>
        <v>8.41220526635189</v>
      </c>
      <c r="I30" s="33">
        <f>IFERROR(Historical_FS!I6/Historical_FS!I61,0)</f>
        <v>8.0738129710566557</v>
      </c>
      <c r="J30" s="33">
        <f>IFERROR(Historical_FS!J6/Historical_FS!J61,0)</f>
        <v>5.7095087667744151</v>
      </c>
      <c r="K30" s="33">
        <f>IFERROR(Historical_FS!K6/Historical_FS!K61,0)</f>
        <v>6.4454062981313438</v>
      </c>
      <c r="L30" s="33">
        <f>IFERROR(Historical_FS!L6/Historical_FS!L61,0)</f>
        <v>6.2596137363579221</v>
      </c>
      <c r="M30" s="42"/>
      <c r="N30" s="49">
        <f t="shared" si="6"/>
        <v>6.8071666316483332</v>
      </c>
      <c r="O30" s="49">
        <f t="shared" si="1"/>
        <v>6.4241004651774416</v>
      </c>
    </row>
    <row r="31" spans="2:15" x14ac:dyDescent="0.25">
      <c r="B31" t="s">
        <v>138</v>
      </c>
      <c r="C31" s="33">
        <f>IFERROR(Historical_FS!C6/Historical_FS!C54,0)</f>
        <v>3.065550817794183</v>
      </c>
      <c r="D31" s="33">
        <f>IFERROR(Historical_FS!D6/Historical_FS!D54,0)</f>
        <v>2.3927955106162675</v>
      </c>
      <c r="E31" s="33">
        <f>IFERROR(Historical_FS!E6/Historical_FS!E54,0)</f>
        <v>1.4741387702125359</v>
      </c>
      <c r="F31" s="33">
        <f>IFERROR(Historical_FS!F6/Historical_FS!F54,0)</f>
        <v>1.5310538669997884</v>
      </c>
      <c r="G31" s="33">
        <f>IFERROR(Historical_FS!G6/Historical_FS!G54,0)</f>
        <v>0.96765911088552437</v>
      </c>
      <c r="H31" s="33">
        <f>IFERROR(Historical_FS!H6/Historical_FS!H54,0)</f>
        <v>1.4266417989125797</v>
      </c>
      <c r="I31" s="33">
        <f>IFERROR(Historical_FS!I6/Historical_FS!I54,0)</f>
        <v>1.1201915675724385</v>
      </c>
      <c r="J31" s="33">
        <f>IFERROR(Historical_FS!J6/Historical_FS!J54,0)</f>
        <v>0.86152444859937405</v>
      </c>
      <c r="K31" s="33">
        <f>IFERROR(Historical_FS!K6/Historical_FS!K54,0)</f>
        <v>1.1065231173084336</v>
      </c>
      <c r="L31" s="33">
        <f>IFERROR(Historical_FS!L6/Historical_FS!L54,0)</f>
        <v>1.2091472878912259</v>
      </c>
      <c r="M31" s="42"/>
      <c r="N31" s="49">
        <f t="shared" si="6"/>
        <v>1.5155226296792352</v>
      </c>
      <c r="O31" s="49">
        <f t="shared" si="1"/>
        <v>1.2091472878912259</v>
      </c>
    </row>
    <row r="32" spans="2:15" x14ac:dyDescent="0.25">
      <c r="B32" t="s">
        <v>140</v>
      </c>
      <c r="C32" s="33">
        <f>IFERROR(Historical_FS!C6/SUM(Historical_FS!C48:C49),0)</f>
        <v>2.1819293662896917</v>
      </c>
      <c r="D32" s="33">
        <f>IFERROR(Historical_FS!D6/SUM(Historical_FS!D48:D49),0)</f>
        <v>1.7133808392715757</v>
      </c>
      <c r="E32" s="33">
        <f>IFERROR(Historical_FS!E6/SUM(Historical_FS!E48:E49),0)</f>
        <v>1.1771796023424139</v>
      </c>
      <c r="F32" s="33">
        <f>IFERROR(Historical_FS!F6/SUM(Historical_FS!F48:F49),0)</f>
        <v>1.1526114012035995</v>
      </c>
      <c r="G32" s="33">
        <f>IFERROR(Historical_FS!G6/SUM(Historical_FS!G48:G49),0)</f>
        <v>1.3315673274140905</v>
      </c>
      <c r="H32" s="33">
        <f>IFERROR(Historical_FS!H6/SUM(Historical_FS!H48:H49),0)</f>
        <v>1.4681461695839964</v>
      </c>
      <c r="I32" s="33">
        <f>IFERROR(Historical_FS!I6/SUM(Historical_FS!I48:I49),0)</f>
        <v>1.3284153297444596</v>
      </c>
      <c r="J32" s="33">
        <f>IFERROR(Historical_FS!J6/SUM(Historical_FS!J48:J49),0)</f>
        <v>0.66598921407882639</v>
      </c>
      <c r="K32" s="33">
        <f>IFERROR(Historical_FS!K6/SUM(Historical_FS!K48:K49),0)</f>
        <v>0.89119482735395805</v>
      </c>
      <c r="L32" s="33">
        <f>IFERROR(Historical_FS!L6/SUM(Historical_FS!L48:L49),0)</f>
        <v>1.224235617540566</v>
      </c>
      <c r="M32" s="38"/>
      <c r="N32" s="47">
        <f t="shared" si="6"/>
        <v>1.3134649694823177</v>
      </c>
      <c r="O32" s="47">
        <f t="shared" si="1"/>
        <v>1.224235617540566</v>
      </c>
    </row>
    <row r="33" spans="2:15" x14ac:dyDescent="0.25">
      <c r="B33" s="35"/>
      <c r="C33" s="37"/>
      <c r="D33" s="37"/>
      <c r="E33" s="37"/>
      <c r="F33" s="37"/>
      <c r="G33" s="37"/>
      <c r="H33" s="37"/>
      <c r="I33" s="37"/>
      <c r="J33" s="37"/>
      <c r="K33" s="37"/>
      <c r="L33" s="37"/>
      <c r="N33" s="32"/>
    </row>
    <row r="34" spans="2:15" x14ac:dyDescent="0.25">
      <c r="B34" t="s">
        <v>141</v>
      </c>
      <c r="C34" s="34">
        <f>IFERROR(365/C28,0)</f>
        <v>7.9235261959628254</v>
      </c>
      <c r="D34" s="34">
        <f t="shared" ref="D34:L34" si="7">IFERROR(365/D28,0)</f>
        <v>5.1819446967187712</v>
      </c>
      <c r="E34" s="34">
        <f t="shared" si="7"/>
        <v>5.9788211297109504</v>
      </c>
      <c r="F34" s="34">
        <f t="shared" si="7"/>
        <v>9.8192654151615049</v>
      </c>
      <c r="G34" s="34">
        <f t="shared" si="7"/>
        <v>16.395081661007669</v>
      </c>
      <c r="H34" s="34">
        <f t="shared" si="7"/>
        <v>19.323895857563382</v>
      </c>
      <c r="I34" s="34">
        <f t="shared" si="7"/>
        <v>12.023952577516555</v>
      </c>
      <c r="J34" s="34">
        <f t="shared" si="7"/>
        <v>14.883134930421374</v>
      </c>
      <c r="K34" s="34">
        <f t="shared" si="7"/>
        <v>12.421095968894718</v>
      </c>
      <c r="L34" s="34">
        <f t="shared" si="7"/>
        <v>11.847977398345041</v>
      </c>
      <c r="M34" s="44"/>
      <c r="N34" s="50">
        <f>IFERROR(AVERAGE(C34:L34),0)</f>
        <v>11.579869583130279</v>
      </c>
      <c r="O34" s="50">
        <f t="shared" si="1"/>
        <v>12.023952577516555</v>
      </c>
    </row>
    <row r="35" spans="2:15" x14ac:dyDescent="0.25">
      <c r="B35" t="s">
        <v>142</v>
      </c>
      <c r="C35" s="34">
        <f>IFERROR(365/C29,0)</f>
        <v>76.949386534908342</v>
      </c>
      <c r="D35" s="34">
        <f t="shared" ref="D35:L35" si="8">IFERROR(365/D29,0)</f>
        <v>114.78860598549038</v>
      </c>
      <c r="E35" s="34">
        <f t="shared" si="8"/>
        <v>231.28865336429638</v>
      </c>
      <c r="F35" s="34">
        <f t="shared" si="8"/>
        <v>270.93102903728857</v>
      </c>
      <c r="G35" s="34">
        <f t="shared" si="8"/>
        <v>259.56061951318117</v>
      </c>
      <c r="H35" s="34">
        <f t="shared" si="8"/>
        <v>194.46817645164751</v>
      </c>
      <c r="I35" s="34">
        <f t="shared" si="8"/>
        <v>219.43346422448252</v>
      </c>
      <c r="J35" s="34">
        <f t="shared" si="8"/>
        <v>266.86242110884035</v>
      </c>
      <c r="K35" s="34">
        <f t="shared" si="8"/>
        <v>210.15979460839847</v>
      </c>
      <c r="L35" s="34">
        <f t="shared" si="8"/>
        <v>182.56163880255045</v>
      </c>
      <c r="M35" s="42"/>
      <c r="N35" s="51">
        <f t="shared" ref="N35:N37" si="9">IFERROR(AVERAGE(C35:L35),0)</f>
        <v>202.70037896310842</v>
      </c>
      <c r="O35" s="51">
        <f t="shared" si="1"/>
        <v>219.43346422448252</v>
      </c>
    </row>
    <row r="36" spans="2:15" x14ac:dyDescent="0.25">
      <c r="B36" t="s">
        <v>143</v>
      </c>
      <c r="C36" s="34">
        <f>IFERROR(365/C30,0)</f>
        <v>47.755010714590533</v>
      </c>
      <c r="D36" s="34">
        <f t="shared" ref="D36:L36" si="10">IFERROR(365/D30,0)</f>
        <v>51.914993642686959</v>
      </c>
      <c r="E36" s="34">
        <f t="shared" si="10"/>
        <v>62.246691833313157</v>
      </c>
      <c r="F36" s="34">
        <f t="shared" si="10"/>
        <v>58.782299295288105</v>
      </c>
      <c r="G36" s="34">
        <f t="shared" si="10"/>
        <v>56.817293250397235</v>
      </c>
      <c r="H36" s="34">
        <f t="shared" si="10"/>
        <v>43.389335904577742</v>
      </c>
      <c r="I36" s="34">
        <f t="shared" si="10"/>
        <v>45.207883971113446</v>
      </c>
      <c r="J36" s="34">
        <f t="shared" si="10"/>
        <v>63.928441992078177</v>
      </c>
      <c r="K36" s="34">
        <f t="shared" si="10"/>
        <v>56.629478905902495</v>
      </c>
      <c r="L36" s="34">
        <f t="shared" si="10"/>
        <v>58.310307212721192</v>
      </c>
      <c r="M36" s="42"/>
      <c r="N36" s="51">
        <f t="shared" si="9"/>
        <v>54.498173672266908</v>
      </c>
      <c r="O36" s="51">
        <f t="shared" si="1"/>
        <v>56.817293250397235</v>
      </c>
    </row>
    <row r="37" spans="2:15" x14ac:dyDescent="0.25">
      <c r="B37" t="s">
        <v>144</v>
      </c>
      <c r="C37" s="34">
        <f>SUM(C34,C36)-C35</f>
        <v>-21.27084962435498</v>
      </c>
      <c r="D37" s="34">
        <f t="shared" ref="D37:L37" si="11">SUM(D34,D36)-D35</f>
        <v>-57.691667646084646</v>
      </c>
      <c r="E37" s="34">
        <f t="shared" si="11"/>
        <v>-163.06314040127228</v>
      </c>
      <c r="F37" s="34">
        <f t="shared" si="11"/>
        <v>-202.32946432683894</v>
      </c>
      <c r="G37" s="34">
        <f t="shared" si="11"/>
        <v>-186.34824460177626</v>
      </c>
      <c r="H37" s="34">
        <f t="shared" si="11"/>
        <v>-131.75494468950637</v>
      </c>
      <c r="I37" s="34">
        <f t="shared" si="11"/>
        <v>-162.20162767585254</v>
      </c>
      <c r="J37" s="34">
        <f t="shared" si="11"/>
        <v>-188.05084418634078</v>
      </c>
      <c r="K37" s="34">
        <f t="shared" si="11"/>
        <v>-141.10921973360126</v>
      </c>
      <c r="L37" s="34">
        <f t="shared" si="11"/>
        <v>-112.40335419148421</v>
      </c>
      <c r="M37" s="38"/>
      <c r="N37" s="52">
        <f t="shared" si="9"/>
        <v>-136.62233570771122</v>
      </c>
      <c r="O37" s="52">
        <f t="shared" si="1"/>
        <v>-162.20162767585254</v>
      </c>
    </row>
    <row r="38" spans="2:15" x14ac:dyDescent="0.25"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N38" s="32"/>
    </row>
    <row r="39" spans="2:15" x14ac:dyDescent="0.25">
      <c r="B39" t="s">
        <v>145</v>
      </c>
      <c r="C39" s="32">
        <f>IFERROR(Historical_FS!C79/Historical_FS!C6,0)</f>
        <v>9.9789860237451011E-2</v>
      </c>
      <c r="D39" s="32">
        <f>IFERROR(Historical_FS!D79/Historical_FS!D6,0)</f>
        <v>9.1817764149028244E-2</v>
      </c>
      <c r="E39" s="32">
        <f>IFERROR(Historical_FS!E79/Historical_FS!E6,0)</f>
        <v>0.1398986730647179</v>
      </c>
      <c r="F39" s="32">
        <f>IFERROR(Historical_FS!F79/Historical_FS!F6,0)</f>
        <v>0.16301808826335565</v>
      </c>
      <c r="G39" s="32">
        <f>IFERROR(Historical_FS!G79/Historical_FS!G6,0)</f>
        <v>0.1828423608641252</v>
      </c>
      <c r="H39" s="32">
        <f>IFERROR(Historical_FS!H79/Historical_FS!H6,0)</f>
        <v>7.4508610208379886E-2</v>
      </c>
      <c r="I39" s="32">
        <f>IFERROR(Historical_FS!I79/Historical_FS!I6,0)</f>
        <v>0.15900844507683362</v>
      </c>
      <c r="J39" s="32">
        <f>IFERROR(Historical_FS!J79/Historical_FS!J6,0)</f>
        <v>5.7811699159566549E-2</v>
      </c>
      <c r="K39" s="32">
        <f>IFERROR(Historical_FS!K79/Historical_FS!K6,0)</f>
        <v>0.15928933469416545</v>
      </c>
      <c r="L39" s="32">
        <f>IFERROR(Historical_FS!L79/Historical_FS!L6,0)</f>
        <v>0.13125573370941904</v>
      </c>
      <c r="M39" s="44"/>
      <c r="N39" s="43">
        <f>IFERROR(AVERAGE(C39:L39),0)</f>
        <v>0.12592405694270425</v>
      </c>
      <c r="O39" s="44"/>
    </row>
    <row r="40" spans="2:15" x14ac:dyDescent="0.25">
      <c r="B40" t="s">
        <v>146</v>
      </c>
      <c r="C40" s="32">
        <f>IFERROR(Historical_FS!C79/Historical_FS!C65,0)</f>
        <v>0.10087841004749989</v>
      </c>
      <c r="D40" s="32">
        <f>IFERROR(Historical_FS!D79/Historical_FS!D65,0)</f>
        <v>6.8136677727429498E-2</v>
      </c>
      <c r="E40" s="32">
        <f>IFERROR(Historical_FS!E79/Historical_FS!E65,0)</f>
        <v>6.3663090132337896E-2</v>
      </c>
      <c r="F40" s="32">
        <f>IFERROR(Historical_FS!F79/Historical_FS!F65,0)</f>
        <v>7.0104498855407885E-2</v>
      </c>
      <c r="G40" s="32">
        <f>IFERROR(Historical_FS!G79/Historical_FS!G65,0)</f>
        <v>8.8082556673277676E-2</v>
      </c>
      <c r="H40" s="32">
        <f>IFERROR(Historical_FS!H79/Historical_FS!H65,0)</f>
        <v>4.2446598438298767E-2</v>
      </c>
      <c r="I40" s="32">
        <f>IFERROR(Historical_FS!I79/Historical_FS!I65,0)</f>
        <v>8.1578483510530819E-2</v>
      </c>
      <c r="J40" s="32">
        <f>IFERROR(Historical_FS!J79/Historical_FS!J65,0)</f>
        <v>2.0421721657645647E-2</v>
      </c>
      <c r="K40" s="32">
        <f>IFERROR(Historical_FS!K79/Historical_FS!K65,0)</f>
        <v>7.3837165075649497E-2</v>
      </c>
      <c r="L40" s="32">
        <f>IFERROR(Historical_FS!L79/Historical_FS!L65,0)</f>
        <v>7.1631664094871234E-2</v>
      </c>
      <c r="M40" s="42"/>
      <c r="N40" s="45">
        <f t="shared" ref="N40:N41" si="12">IFERROR(AVERAGE(C40:L40),0)</f>
        <v>6.8078086621294887E-2</v>
      </c>
      <c r="O40" s="42"/>
    </row>
    <row r="41" spans="2:15" x14ac:dyDescent="0.25">
      <c r="B41" s="38" t="s">
        <v>147</v>
      </c>
      <c r="C41" s="46">
        <f>IFERROR(Historical_FS!C79/Historical_FS!C50,0)</f>
        <v>0.31176627438545412</v>
      </c>
      <c r="D41" s="46">
        <f>IFERROR(Historical_FS!D79/Historical_FS!D50,0)</f>
        <v>0.20430190608079596</v>
      </c>
      <c r="E41" s="46">
        <f>IFERROR(Historical_FS!E79/Historical_FS!E50,0)</f>
        <v>0.19584621547500436</v>
      </c>
      <c r="F41" s="46">
        <f>IFERROR(Historical_FS!F79/Historical_FS!F50,0)</f>
        <v>0.22784228072192206</v>
      </c>
      <c r="G41" s="46">
        <f>IFERROR(Historical_FS!G79/Historical_FS!G50,0)</f>
        <v>0.29794073623161821</v>
      </c>
      <c r="H41" s="46">
        <f>IFERROR(Historical_FS!H79/Historical_FS!H50,0)</f>
        <v>0.13761479815672994</v>
      </c>
      <c r="I41" s="46">
        <f>IFERROR(Historical_FS!I79/Historical_FS!I50,0)</f>
        <v>0.2671590643505391</v>
      </c>
      <c r="J41" s="46">
        <f>IFERROR(Historical_FS!J79/Historical_FS!J50,0)</f>
        <v>9.6636817917852613E-2</v>
      </c>
      <c r="K41" s="46">
        <f>IFERROR(Historical_FS!K79/Historical_FS!K50,0)</f>
        <v>0.34670602021569252</v>
      </c>
      <c r="L41" s="46">
        <f>IFERROR(Historical_FS!L79/Historical_FS!L50,0)</f>
        <v>0.25468489850862586</v>
      </c>
      <c r="M41" s="38"/>
      <c r="N41" s="46">
        <f t="shared" si="12"/>
        <v>0.23404990120442343</v>
      </c>
      <c r="O41" s="38"/>
    </row>
  </sheetData>
  <mergeCells count="1">
    <mergeCell ref="B2:L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994FAB69-F025-4538-A543-D400C5FBE934}">
          <x14:colorSeries rgb="FF376092"/>
          <x14:colorNegative rgb="FFD00000"/>
          <x14:colorAxis rgb="FF000000"/>
          <x14:colorMarkers rgb="FF002060"/>
          <x14:colorFirst rgb="FFD00000"/>
          <x14:colorLast rgb="FFD00000"/>
          <x14:colorHigh rgb="FFD00000"/>
          <x14:colorLow rgb="FFD00000"/>
          <x14:sparklines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  <x14:sparklineGroup displayEmptyCellsAs="gap" markers="1" xr2:uid="{EA620C1D-233B-404F-BEAD-6A3C930175FB}">
          <x14:colorSeries rgb="FF376092"/>
          <x14:colorNegative rgb="FFD00000"/>
          <x14:colorAxis rgb="FF000000"/>
          <x14:colorMarkers rgb="FF002060"/>
          <x14:colorFirst rgb="FFD00000"/>
          <x14:colorLast rgb="FFD00000"/>
          <x14:colorHigh rgb="FFD00000"/>
          <x14:colorLow rgb="FFD00000"/>
          <x14:sparklines>
            <x14:sparkline>
              <xm:f>'Ratio Analysis'!D34:L34</xm:f>
              <xm:sqref>M34</xm:sqref>
            </x14:sparkline>
            <x14:sparkline>
              <xm:f>'Ratio Analysis'!D35:L35</xm:f>
              <xm:sqref>M35</xm:sqref>
            </x14:sparkline>
            <x14:sparkline>
              <xm:f>'Ratio Analysis'!D36:L36</xm:f>
              <xm:sqref>M36</xm:sqref>
            </x14:sparkline>
            <x14:sparkline>
              <xm:f>'Ratio Analysis'!D37:L37</xm:f>
              <xm:sqref>M37</xm:sqref>
            </x14:sparkline>
          </x14:sparklines>
        </x14:sparklineGroup>
        <x14:sparklineGroup displayEmptyCellsAs="gap" markers="1" xr2:uid="{13B8D6B6-966C-4CC2-B9C3-112395D47810}">
          <x14:colorSeries rgb="FF376092"/>
          <x14:colorNegative rgb="FFD00000"/>
          <x14:colorAxis rgb="FF000000"/>
          <x14:colorMarkers rgb="FF002060"/>
          <x14:colorFirst rgb="FFD00000"/>
          <x14:colorLast rgb="FFD00000"/>
          <x14:colorHigh rgb="FFD00000"/>
          <x14:colorLow rgb="FFD00000"/>
          <x14:sparklines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</x14:sparklines>
        </x14:sparklineGroup>
        <x14:sparklineGroup displayEmptyCellsAs="gap" markers="1" xr2:uid="{53A9A961-EC71-4290-9A5F-4EAFCC8F81DE}">
          <x14:colorSeries rgb="FF376092"/>
          <x14:colorNegative rgb="FFD00000"/>
          <x14:colorAxis rgb="FF000000"/>
          <x14:colorMarkers rgb="FF002060"/>
          <x14:colorFirst rgb="FFD00000"/>
          <x14:colorLast rgb="FFD00000"/>
          <x14:colorHigh rgb="FFD00000"/>
          <x14:colorLow rgb="FFD00000"/>
          <x14:sparklines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</x14:sparklines>
        </x14:sparklineGroup>
        <x14:sparklineGroup displayEmptyCellsAs="gap" markers="1" xr2:uid="{63B93CB0-4666-4642-8A48-E016E693CBD0}">
          <x14:colorSeries rgb="FF376092"/>
          <x14:colorNegative rgb="FFD00000"/>
          <x14:colorAxis rgb="FF000000"/>
          <x14:colorMarkers rgb="FF002060"/>
          <x14:colorFirst rgb="FFD00000"/>
          <x14:colorLast rgb="FFD00000"/>
          <x14:colorHigh rgb="FFD00000"/>
          <x14:colorLow rgb="FFD00000"/>
          <x14:sparklines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</x14:sparklines>
        </x14:sparklineGroup>
        <x14:sparklineGroup displayEmptyCellsAs="gap" markers="1" xr2:uid="{09AB0223-25F4-4CD3-A25B-4B2BAD350E8C}">
          <x14:colorSeries rgb="FF376092"/>
          <x14:colorNegative rgb="FFD00000"/>
          <x14:colorAxis rgb="FF000000"/>
          <x14:colorMarkers rgb="FF002060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</x14:sparklines>
        </x14:sparklineGroup>
        <x14:sparklineGroup displayEmptyCellsAs="gap" markers="1" negative="1" xr2:uid="{0A27A497-8348-42F6-959B-D576BFAC1F5E}">
          <x14:colorSeries rgb="FF000000"/>
          <x14:colorNegative rgb="FF002060"/>
          <x14:colorAxis rgb="FF000000"/>
          <x14:colorMarkers rgb="FF002060"/>
          <x14:colorFirst rgb="FF0070C0"/>
          <x14:colorLast rgb="FF0070C0"/>
          <x14:colorHigh rgb="FF0070C0"/>
          <x14:colorLow rgb="FF0070C0"/>
          <x14:sparklines>
            <x14:sparkline>
              <xm:f>'Ratio Analysis'!C5:L5</xm:f>
              <xm:sqref>M5</xm:sqref>
            </x14:sparkline>
            <x14:sparkline>
              <xm:f>'Ratio Analysis'!C6:L6</xm:f>
              <xm:sqref>M6</xm:sqref>
            </x14:sparkline>
            <x14:sparkline>
              <xm:f>'Ratio Analysis'!C7:L7</xm:f>
              <xm:sqref>M7</xm:sqref>
            </x14:sparkline>
            <x14:sparkline>
              <xm:f>'Ratio Analysis'!C8:L8</xm:f>
              <xm:sqref>M8</xm:sqref>
            </x14:sparkline>
            <x14:sparkline>
              <xm:f>'Ratio Analysis'!C9:L9</xm:f>
              <xm:sqref>M9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E8A9-F23B-44AA-8CB2-8964DE1CB20C}">
  <dimension ref="B3:Q18"/>
  <sheetViews>
    <sheetView showGridLines="0" workbookViewId="0">
      <selection activeCell="D5" sqref="D5"/>
    </sheetView>
  </sheetViews>
  <sheetFormatPr defaultRowHeight="15" x14ac:dyDescent="0.25"/>
  <cols>
    <col min="1" max="1" width="1.85546875" customWidth="1"/>
    <col min="2" max="2" width="12" bestFit="1" customWidth="1"/>
    <col min="3" max="3" width="9.85546875" bestFit="1" customWidth="1"/>
    <col min="4" max="4" width="10.7109375" bestFit="1" customWidth="1"/>
    <col min="5" max="5" width="12.7109375" bestFit="1" customWidth="1"/>
    <col min="8" max="8" width="12" bestFit="1" customWidth="1"/>
    <col min="9" max="9" width="6.28515625" bestFit="1" customWidth="1"/>
    <col min="10" max="11" width="12.7109375" bestFit="1" customWidth="1"/>
    <col min="13" max="13" width="5.42578125" customWidth="1"/>
    <col min="14" max="14" width="12" bestFit="1" customWidth="1"/>
    <col min="15" max="15" width="6.28515625" bestFit="1" customWidth="1"/>
    <col min="16" max="16" width="8.140625" customWidth="1"/>
    <col min="17" max="17" width="26.42578125" customWidth="1"/>
  </cols>
  <sheetData>
    <row r="3" spans="2:17" x14ac:dyDescent="0.25">
      <c r="B3" s="152" t="str">
        <f>'Data Sheet'!$B$1&amp;" - "&amp;'Data Sheet'!A17&amp;" Forecast"</f>
        <v>RELIANCE INDUSTRIES LTD - Sales Forecast</v>
      </c>
      <c r="C3" s="152"/>
      <c r="D3" s="152"/>
      <c r="E3" s="152"/>
      <c r="H3" s="152" t="str">
        <f>'Data Sheet'!$B$1&amp;" - "&amp;Historical_FS!B18&amp;" Forecast"</f>
        <v>RELIANCE INDUSTRIES LTD - EBITDA Forecast</v>
      </c>
      <c r="I3" s="152"/>
      <c r="J3" s="152"/>
      <c r="K3" s="152"/>
      <c r="N3" s="152" t="str">
        <f>'Data Sheet'!$B$1&amp;" - "&amp;Historical_FS!B38&amp;" Forecast"</f>
        <v>RELIANCE INDUSTRIES LTD - Earnings Per Share Forecast</v>
      </c>
      <c r="O3" s="152"/>
      <c r="P3" s="152"/>
      <c r="Q3" s="152"/>
    </row>
    <row r="4" spans="2:17" x14ac:dyDescent="0.25">
      <c r="B4" s="54" t="s">
        <v>151</v>
      </c>
      <c r="C4" s="54" t="s">
        <v>152</v>
      </c>
      <c r="D4" s="54" t="s">
        <v>1</v>
      </c>
      <c r="E4" s="54" t="s">
        <v>59</v>
      </c>
      <c r="H4" s="54" t="s">
        <v>151</v>
      </c>
      <c r="I4" s="54" t="s">
        <v>152</v>
      </c>
      <c r="J4" s="54" t="s">
        <v>1</v>
      </c>
      <c r="K4" s="54" t="s">
        <v>59</v>
      </c>
      <c r="N4" s="54" t="s">
        <v>151</v>
      </c>
      <c r="O4" s="54" t="s">
        <v>152</v>
      </c>
      <c r="P4" s="54" t="s">
        <v>1</v>
      </c>
      <c r="Q4" s="54" t="s">
        <v>59</v>
      </c>
    </row>
    <row r="5" spans="2:17" x14ac:dyDescent="0.25">
      <c r="B5" s="55">
        <v>1</v>
      </c>
      <c r="C5" s="56">
        <f>'Data Sheet'!B16</f>
        <v>41729</v>
      </c>
      <c r="D5" s="57">
        <f t="array" ref="D5:D14">TRANSPOSE('Data Sheet'!B17:K17)</f>
        <v>433521</v>
      </c>
      <c r="H5" s="55">
        <v>1</v>
      </c>
      <c r="I5" s="56">
        <f>'Data Sheet'!H16</f>
        <v>43921</v>
      </c>
      <c r="J5" s="57">
        <f t="array" ref="J5:J14">TRANSPOSE(Historical_FS!C18:L18)</f>
        <v>34935</v>
      </c>
      <c r="N5" s="55">
        <v>1</v>
      </c>
      <c r="O5" s="56">
        <f>'Data Sheet'!N16</f>
        <v>0</v>
      </c>
      <c r="P5" s="57">
        <f t="array" ref="P5:P14">TRANSPOSE(Historical_FS!C38:L38)</f>
        <v>19.845390729245228</v>
      </c>
    </row>
    <row r="6" spans="2:17" x14ac:dyDescent="0.25">
      <c r="B6" s="55">
        <f>B5+1</f>
        <v>2</v>
      </c>
      <c r="C6" s="56">
        <f>C5+365</f>
        <v>42094</v>
      </c>
      <c r="D6" s="57">
        <v>374372</v>
      </c>
      <c r="E6" s="32">
        <f>D6/D5-1</f>
        <v>-0.13643860389692775</v>
      </c>
      <c r="H6" s="55">
        <f>H5+1</f>
        <v>2</v>
      </c>
      <c r="I6" s="56">
        <f>I5+365</f>
        <v>44286</v>
      </c>
      <c r="J6" s="57">
        <v>37449</v>
      </c>
      <c r="K6" s="32">
        <f>J6/J5-1</f>
        <v>7.1962215543151631E-2</v>
      </c>
      <c r="N6" s="55">
        <f>N5+1</f>
        <v>2</v>
      </c>
      <c r="O6" s="56">
        <f>O5+365</f>
        <v>365</v>
      </c>
      <c r="P6" s="57">
        <v>21.892565335805759</v>
      </c>
      <c r="Q6" s="32">
        <f>P6/P5-1</f>
        <v>0.10315617538049815</v>
      </c>
    </row>
    <row r="7" spans="2:17" x14ac:dyDescent="0.25">
      <c r="B7" s="55">
        <f t="shared" ref="B7:B18" si="0">B6+1</f>
        <v>3</v>
      </c>
      <c r="C7" s="56">
        <f t="shared" ref="C7:C18" si="1">C6+365</f>
        <v>42459</v>
      </c>
      <c r="D7" s="57">
        <v>272583</v>
      </c>
      <c r="E7" s="32">
        <f t="shared" ref="E7:E18" si="2">D7/D6-1</f>
        <v>-0.27189266291282466</v>
      </c>
      <c r="H7" s="55">
        <f t="shared" ref="H7" si="3">H6+1</f>
        <v>3</v>
      </c>
      <c r="I7" s="56">
        <f t="shared" ref="I7:I18" si="4">I6+365</f>
        <v>44651</v>
      </c>
      <c r="J7" s="57">
        <v>41781</v>
      </c>
      <c r="K7" s="32">
        <f t="shared" ref="K7:K18" si="5">J7/J6-1</f>
        <v>0.11567732115677321</v>
      </c>
      <c r="N7" s="55">
        <f t="shared" ref="N7" si="6">N6+1</f>
        <v>3</v>
      </c>
      <c r="O7" s="56">
        <f t="shared" ref="O7:O18" si="7">O6+365</f>
        <v>730</v>
      </c>
      <c r="P7" s="57">
        <v>25.530899201481311</v>
      </c>
      <c r="Q7" s="32">
        <f t="shared" ref="Q7:Q18" si="8">P7/P6-1</f>
        <v>0.1661903851772446</v>
      </c>
    </row>
    <row r="8" spans="2:17" x14ac:dyDescent="0.25">
      <c r="B8" s="55">
        <f t="shared" si="0"/>
        <v>4</v>
      </c>
      <c r="C8" s="56">
        <f t="shared" si="1"/>
        <v>42824</v>
      </c>
      <c r="D8" s="57">
        <v>303954</v>
      </c>
      <c r="E8" s="32">
        <f t="shared" si="2"/>
        <v>0.11508788148930793</v>
      </c>
      <c r="H8" s="55">
        <f t="shared" ref="H8" si="9">H7+1</f>
        <v>4</v>
      </c>
      <c r="I8" s="56">
        <f t="shared" si="4"/>
        <v>45016</v>
      </c>
      <c r="J8" s="57">
        <v>46307</v>
      </c>
      <c r="K8" s="32">
        <f t="shared" si="5"/>
        <v>0.10832675139417436</v>
      </c>
      <c r="N8" s="55">
        <f t="shared" ref="N8" si="10">N7+1</f>
        <v>4</v>
      </c>
      <c r="O8" s="56">
        <f t="shared" si="7"/>
        <v>1095</v>
      </c>
      <c r="P8" s="57">
        <v>29.71511778783772</v>
      </c>
      <c r="Q8" s="32">
        <f t="shared" si="8"/>
        <v>0.16388841432242374</v>
      </c>
    </row>
    <row r="9" spans="2:17" x14ac:dyDescent="0.25">
      <c r="B9" s="55">
        <f t="shared" si="0"/>
        <v>5</v>
      </c>
      <c r="C9" s="56">
        <f t="shared" si="1"/>
        <v>43189</v>
      </c>
      <c r="D9" s="57">
        <v>390823</v>
      </c>
      <c r="E9" s="32">
        <f t="shared" si="2"/>
        <v>0.28579653500200686</v>
      </c>
      <c r="H9" s="55">
        <f t="shared" ref="H9" si="11">H8+1</f>
        <v>5</v>
      </c>
      <c r="I9" s="56">
        <f t="shared" si="4"/>
        <v>45381</v>
      </c>
      <c r="J9" s="57">
        <v>64315</v>
      </c>
      <c r="K9" s="32">
        <f t="shared" si="5"/>
        <v>0.38888289027576817</v>
      </c>
      <c r="N9" s="55">
        <f t="shared" ref="N9" si="12">N8+1</f>
        <v>5</v>
      </c>
      <c r="O9" s="56">
        <f t="shared" si="7"/>
        <v>1460</v>
      </c>
      <c r="P9" s="57">
        <v>38.790883528192985</v>
      </c>
      <c r="Q9" s="32">
        <f t="shared" si="8"/>
        <v>0.30542587127384491</v>
      </c>
    </row>
    <row r="10" spans="2:17" x14ac:dyDescent="0.25">
      <c r="B10" s="55">
        <f t="shared" si="0"/>
        <v>6</v>
      </c>
      <c r="C10" s="56">
        <f t="shared" si="1"/>
        <v>43554</v>
      </c>
      <c r="D10" s="57">
        <v>568337</v>
      </c>
      <c r="E10" s="32">
        <f t="shared" si="2"/>
        <v>0.45420561225925793</v>
      </c>
      <c r="H10" s="55">
        <f t="shared" ref="H10" si="13">H9+1</f>
        <v>6</v>
      </c>
      <c r="I10" s="56">
        <f t="shared" si="4"/>
        <v>45746</v>
      </c>
      <c r="J10" s="57">
        <v>84250</v>
      </c>
      <c r="K10" s="32">
        <f t="shared" si="5"/>
        <v>0.3099587965482391</v>
      </c>
      <c r="N10" s="55">
        <f t="shared" ref="N10" si="14">N9+1</f>
        <v>6</v>
      </c>
      <c r="O10" s="56">
        <f t="shared" si="7"/>
        <v>1825</v>
      </c>
      <c r="P10" s="57">
        <v>46.486622395101534</v>
      </c>
      <c r="Q10" s="32">
        <f t="shared" si="8"/>
        <v>0.19839039915951728</v>
      </c>
    </row>
    <row r="11" spans="2:17" x14ac:dyDescent="0.25">
      <c r="B11" s="55">
        <f t="shared" si="0"/>
        <v>7</v>
      </c>
      <c r="C11" s="56">
        <f t="shared" si="1"/>
        <v>43919</v>
      </c>
      <c r="D11" s="57">
        <v>596679</v>
      </c>
      <c r="E11" s="32">
        <f t="shared" si="2"/>
        <v>4.9868299969912266E-2</v>
      </c>
      <c r="H11" s="55">
        <f t="shared" ref="H11" si="15">H10+1</f>
        <v>7</v>
      </c>
      <c r="I11" s="56">
        <f t="shared" si="4"/>
        <v>46111</v>
      </c>
      <c r="J11" s="57">
        <v>89266</v>
      </c>
      <c r="K11" s="32">
        <f t="shared" si="5"/>
        <v>5.9537091988130619E-2</v>
      </c>
      <c r="N11" s="55">
        <f t="shared" ref="N11" si="16">N10+1</f>
        <v>7</v>
      </c>
      <c r="O11" s="56">
        <f t="shared" si="7"/>
        <v>2190</v>
      </c>
      <c r="P11" s="57">
        <v>46.303553734896994</v>
      </c>
      <c r="Q11" s="32">
        <f t="shared" si="8"/>
        <v>-3.9380933862777079E-3</v>
      </c>
    </row>
    <row r="12" spans="2:17" x14ac:dyDescent="0.25">
      <c r="B12" s="55">
        <f t="shared" si="0"/>
        <v>8</v>
      </c>
      <c r="C12" s="56">
        <f t="shared" si="1"/>
        <v>44284</v>
      </c>
      <c r="D12" s="57">
        <v>466307</v>
      </c>
      <c r="E12" s="32">
        <f t="shared" si="2"/>
        <v>-0.21849604226057895</v>
      </c>
      <c r="H12" s="55">
        <f t="shared" ref="H12" si="17">H11+1</f>
        <v>8</v>
      </c>
      <c r="I12" s="56">
        <f t="shared" si="4"/>
        <v>46476</v>
      </c>
      <c r="J12" s="57">
        <v>80790</v>
      </c>
      <c r="K12" s="32">
        <f t="shared" si="5"/>
        <v>-9.4952165438128788E-2</v>
      </c>
      <c r="N12" s="55">
        <f t="shared" ref="N12" si="18">N11+1</f>
        <v>8</v>
      </c>
      <c r="O12" s="56">
        <f t="shared" si="7"/>
        <v>2555</v>
      </c>
      <c r="P12" s="57">
        <v>49.384799823327121</v>
      </c>
      <c r="Q12" s="32">
        <f t="shared" si="8"/>
        <v>6.6544483951950451E-2</v>
      </c>
    </row>
    <row r="13" spans="2:17" x14ac:dyDescent="0.25">
      <c r="B13" s="55">
        <f t="shared" si="0"/>
        <v>9</v>
      </c>
      <c r="C13" s="56">
        <f t="shared" si="1"/>
        <v>44649</v>
      </c>
      <c r="D13" s="57">
        <v>694673</v>
      </c>
      <c r="E13" s="32">
        <f t="shared" si="2"/>
        <v>0.48973315862725619</v>
      </c>
      <c r="H13" s="55">
        <f t="shared" ref="H13" si="19">H12+1</f>
        <v>9</v>
      </c>
      <c r="I13" s="56">
        <f t="shared" si="4"/>
        <v>46841</v>
      </c>
      <c r="J13" s="57">
        <v>108581</v>
      </c>
      <c r="K13" s="32">
        <f t="shared" si="5"/>
        <v>0.34399059289516032</v>
      </c>
      <c r="N13" s="55">
        <f t="shared" ref="N13" si="20">N12+1</f>
        <v>9</v>
      </c>
      <c r="O13" s="56">
        <f t="shared" si="7"/>
        <v>2920</v>
      </c>
      <c r="P13" s="57">
        <v>71.316649174414991</v>
      </c>
      <c r="Q13" s="32">
        <f t="shared" si="8"/>
        <v>0.44410120987730051</v>
      </c>
    </row>
    <row r="14" spans="2:17" x14ac:dyDescent="0.25">
      <c r="B14" s="55">
        <f t="shared" si="0"/>
        <v>10</v>
      </c>
      <c r="C14" s="56">
        <f t="shared" si="1"/>
        <v>45014</v>
      </c>
      <c r="D14" s="57">
        <v>876396</v>
      </c>
      <c r="E14" s="32">
        <f t="shared" si="2"/>
        <v>0.26159502384575184</v>
      </c>
      <c r="H14" s="55">
        <f t="shared" ref="H14" si="21">H13+1</f>
        <v>10</v>
      </c>
      <c r="I14" s="56">
        <f t="shared" si="4"/>
        <v>47206</v>
      </c>
      <c r="J14" s="57">
        <v>142318</v>
      </c>
      <c r="K14" s="32">
        <f t="shared" si="5"/>
        <v>0.31070813494073546</v>
      </c>
      <c r="N14" s="55">
        <f t="shared" ref="N14" si="22">N13+1</f>
        <v>10</v>
      </c>
      <c r="O14" s="56">
        <f t="shared" si="7"/>
        <v>3285</v>
      </c>
      <c r="P14" s="57">
        <v>91.740569942059835</v>
      </c>
      <c r="Q14" s="32">
        <f t="shared" si="8"/>
        <v>0.28638362856470234</v>
      </c>
    </row>
    <row r="15" spans="2:17" x14ac:dyDescent="0.25">
      <c r="B15" s="58">
        <f t="shared" si="0"/>
        <v>11</v>
      </c>
      <c r="C15" s="59">
        <f t="shared" si="1"/>
        <v>45379</v>
      </c>
      <c r="D15" s="60">
        <f>FORECAST(B15,D5:D14,B5:B14)</f>
        <v>772840.8666666667</v>
      </c>
      <c r="E15" s="61">
        <f t="shared" si="2"/>
        <v>-0.11816020763825175</v>
      </c>
      <c r="H15" s="58">
        <f t="shared" ref="H15" si="23">H14+1</f>
        <v>11</v>
      </c>
      <c r="I15" s="59">
        <f t="shared" si="4"/>
        <v>47571</v>
      </c>
      <c r="J15" s="60">
        <f>FORECAST(H15,J5:J14,H5:H14)</f>
        <v>133273.46666666667</v>
      </c>
      <c r="K15" s="61">
        <f t="shared" si="5"/>
        <v>-6.3551576984874236E-2</v>
      </c>
      <c r="N15" s="58">
        <f t="shared" ref="N15" si="24">N14+1</f>
        <v>11</v>
      </c>
      <c r="O15" s="59">
        <f t="shared" si="7"/>
        <v>3650</v>
      </c>
      <c r="P15" s="60">
        <f>FORECAST(N15,P5:P14,N5:N14)</f>
        <v>83.092563485333386</v>
      </c>
      <c r="Q15" s="61">
        <f t="shared" si="8"/>
        <v>-9.4265889804131753E-2</v>
      </c>
    </row>
    <row r="16" spans="2:17" x14ac:dyDescent="0.25">
      <c r="B16" s="58">
        <f t="shared" si="0"/>
        <v>12</v>
      </c>
      <c r="C16" s="59">
        <f t="shared" si="1"/>
        <v>45744</v>
      </c>
      <c r="D16" s="60">
        <f t="shared" ref="D16:D18" si="25">FORECAST(B16,D6:D15,B6:B15)</f>
        <v>865739.81333333347</v>
      </c>
      <c r="E16" s="61">
        <f t="shared" si="2"/>
        <v>0.12020449574224568</v>
      </c>
      <c r="H16" s="58">
        <f t="shared" ref="H16" si="26">H15+1</f>
        <v>12</v>
      </c>
      <c r="I16" s="59">
        <f t="shared" si="4"/>
        <v>47936</v>
      </c>
      <c r="J16" s="60">
        <f t="shared" ref="J16:J18" si="27">FORECAST(H16,J6:J15,H6:H15)</f>
        <v>147232.72</v>
      </c>
      <c r="K16" s="61">
        <f t="shared" si="5"/>
        <v>0.10474142890157667</v>
      </c>
      <c r="N16" s="58">
        <f t="shared" ref="N16" si="28">N15+1</f>
        <v>12</v>
      </c>
      <c r="O16" s="59">
        <f t="shared" si="7"/>
        <v>4015</v>
      </c>
      <c r="P16" s="60">
        <f t="shared" ref="P16:P18" si="29">FORECAST(N16,P6:P15,N6:N15)</f>
        <v>92.221222963774579</v>
      </c>
      <c r="Q16" s="61">
        <f t="shared" si="8"/>
        <v>0.10986132928793912</v>
      </c>
    </row>
    <row r="17" spans="2:17" x14ac:dyDescent="0.25">
      <c r="B17" s="58">
        <f t="shared" si="0"/>
        <v>13</v>
      </c>
      <c r="C17" s="59">
        <f t="shared" si="1"/>
        <v>46109</v>
      </c>
      <c r="D17" s="60">
        <f t="shared" si="25"/>
        <v>957403.9475555555</v>
      </c>
      <c r="E17" s="61">
        <f t="shared" si="2"/>
        <v>0.10587954118604093</v>
      </c>
      <c r="H17" s="58">
        <f t="shared" ref="H17" si="30">H16+1</f>
        <v>13</v>
      </c>
      <c r="I17" s="59">
        <f t="shared" si="4"/>
        <v>48301</v>
      </c>
      <c r="J17" s="60">
        <f t="shared" si="27"/>
        <v>160890.17688888888</v>
      </c>
      <c r="K17" s="61">
        <f t="shared" si="5"/>
        <v>9.2761017312516403E-2</v>
      </c>
      <c r="N17" s="58">
        <f t="shared" ref="N17" si="31">N16+1</f>
        <v>13</v>
      </c>
      <c r="O17" s="59">
        <f t="shared" si="7"/>
        <v>4380</v>
      </c>
      <c r="P17" s="60">
        <f t="shared" si="29"/>
        <v>101.33078127826917</v>
      </c>
      <c r="Q17" s="61">
        <f t="shared" si="8"/>
        <v>9.8779413477014133E-2</v>
      </c>
    </row>
    <row r="18" spans="2:17" x14ac:dyDescent="0.25">
      <c r="B18" s="58">
        <f t="shared" si="0"/>
        <v>14</v>
      </c>
      <c r="C18" s="59">
        <f t="shared" si="1"/>
        <v>46474</v>
      </c>
      <c r="D18" s="60">
        <f t="shared" si="25"/>
        <v>1025832.1479111112</v>
      </c>
      <c r="E18" s="61">
        <f t="shared" si="2"/>
        <v>7.1472653241368755E-2</v>
      </c>
      <c r="H18" s="58">
        <f t="shared" ref="H18" si="32">H17+1</f>
        <v>14</v>
      </c>
      <c r="I18" s="59">
        <f t="shared" si="4"/>
        <v>48666</v>
      </c>
      <c r="J18" s="60">
        <f t="shared" si="27"/>
        <v>173846.90186666668</v>
      </c>
      <c r="K18" s="61">
        <f t="shared" si="5"/>
        <v>8.0531485689929738E-2</v>
      </c>
      <c r="N18" s="58">
        <f t="shared" ref="N18" si="33">N17+1</f>
        <v>14</v>
      </c>
      <c r="O18" s="59">
        <f t="shared" si="7"/>
        <v>4745</v>
      </c>
      <c r="P18" s="60">
        <f t="shared" si="29"/>
        <v>110.36580810754381</v>
      </c>
      <c r="Q18" s="61">
        <f t="shared" si="8"/>
        <v>8.9163694538810789E-2</v>
      </c>
    </row>
  </sheetData>
  <mergeCells count="3">
    <mergeCell ref="B3:E3"/>
    <mergeCell ref="H3:K3"/>
    <mergeCell ref="N3:Q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CCEDF-5E5B-4A1E-80F0-4590F2F04B88}">
  <sheetPr>
    <tabColor rgb="FF002060"/>
  </sheetPr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10" zoomScaleNormal="110" zoomScalePageLayoutView="120" workbookViewId="0">
      <pane xSplit="1" ySplit="1" topLeftCell="D4" activePane="bottomRight" state="frozen"/>
      <selection activeCell="C4" sqref="C4"/>
      <selection pane="topRight" activeCell="C4" sqref="C4"/>
      <selection pane="bottomLeft" activeCell="C4" sqref="C4"/>
      <selection pane="bottomRight" activeCell="K16" sqref="K16"/>
    </sheetView>
  </sheetViews>
  <sheetFormatPr defaultColWidth="8.85546875" defaultRowHeight="15" x14ac:dyDescent="0.25"/>
  <cols>
    <col min="1" max="1" width="27.7109375" style="2" bestFit="1" customWidth="1"/>
    <col min="2" max="11" width="13.42578125" style="2" bestFit="1" customWidth="1"/>
    <col min="12" max="12" width="12.140625" style="2" bestFit="1" customWidth="1"/>
    <col min="13" max="16384" width="8.85546875" style="2"/>
  </cols>
  <sheetData>
    <row r="1" spans="1:11" s="1" customFormat="1" x14ac:dyDescent="0.25">
      <c r="A1" s="1" t="s">
        <v>0</v>
      </c>
      <c r="B1" s="1" t="s">
        <v>32</v>
      </c>
      <c r="E1" s="153" t="s">
        <v>54</v>
      </c>
      <c r="F1" s="153"/>
      <c r="G1" s="153"/>
      <c r="H1" s="153"/>
      <c r="I1" s="153"/>
      <c r="J1" s="153"/>
      <c r="K1" s="153"/>
    </row>
    <row r="2" spans="1:11" x14ac:dyDescent="0.25">
      <c r="A2" s="1" t="s">
        <v>30</v>
      </c>
      <c r="B2" s="2">
        <v>2.1</v>
      </c>
      <c r="E2" s="154" t="s">
        <v>21</v>
      </c>
      <c r="F2" s="154"/>
      <c r="G2" s="154"/>
      <c r="H2" s="154"/>
      <c r="I2" s="154"/>
      <c r="J2" s="154"/>
      <c r="K2" s="154"/>
    </row>
    <row r="3" spans="1:11" x14ac:dyDescent="0.25">
      <c r="A3" s="1" t="s">
        <v>31</v>
      </c>
      <c r="B3" s="2">
        <v>2.1</v>
      </c>
    </row>
    <row r="4" spans="1:11" x14ac:dyDescent="0.25">
      <c r="A4" s="1"/>
    </row>
    <row r="5" spans="1:11" x14ac:dyDescent="0.25">
      <c r="A5" s="1" t="s">
        <v>33</v>
      </c>
    </row>
    <row r="6" spans="1:11" x14ac:dyDescent="0.25">
      <c r="A6" s="2" t="s">
        <v>27</v>
      </c>
      <c r="B6" s="2">
        <f>IF(B9&gt;0, B9/B8, 0)</f>
        <v>677.03094784472489</v>
      </c>
    </row>
    <row r="7" spans="1:11" x14ac:dyDescent="0.25">
      <c r="A7" s="2" t="s">
        <v>16</v>
      </c>
      <c r="B7">
        <v>10</v>
      </c>
    </row>
    <row r="8" spans="1:11" x14ac:dyDescent="0.25">
      <c r="A8" s="2" t="s">
        <v>28</v>
      </c>
      <c r="B8">
        <v>2519.4</v>
      </c>
    </row>
    <row r="9" spans="1:11" x14ac:dyDescent="0.25">
      <c r="A9" s="2" t="s">
        <v>43</v>
      </c>
      <c r="B9">
        <v>1705711.77</v>
      </c>
    </row>
    <row r="15" spans="1:11" x14ac:dyDescent="0.25">
      <c r="A15" s="1" t="s">
        <v>22</v>
      </c>
    </row>
    <row r="16" spans="1:11" s="6" customFormat="1" x14ac:dyDescent="0.25">
      <c r="A16" s="5" t="s">
        <v>23</v>
      </c>
      <c r="B16" s="4">
        <v>41729</v>
      </c>
      <c r="C16" s="4">
        <v>42094</v>
      </c>
      <c r="D16" s="4">
        <v>42460</v>
      </c>
      <c r="E16" s="4">
        <v>42825</v>
      </c>
      <c r="F16" s="4">
        <v>43190</v>
      </c>
      <c r="G16" s="4">
        <v>43555</v>
      </c>
      <c r="H16" s="4">
        <v>43921</v>
      </c>
      <c r="I16" s="4">
        <v>44286</v>
      </c>
      <c r="J16" s="4">
        <v>44651</v>
      </c>
      <c r="K16" s="4">
        <v>45016</v>
      </c>
    </row>
    <row r="17" spans="1:11" s="3" customFormat="1" x14ac:dyDescent="0.25">
      <c r="A17" s="3" t="s">
        <v>1</v>
      </c>
      <c r="B17">
        <v>433521</v>
      </c>
      <c r="C17">
        <v>374372</v>
      </c>
      <c r="D17">
        <v>272583</v>
      </c>
      <c r="E17">
        <v>303954</v>
      </c>
      <c r="F17">
        <v>390823</v>
      </c>
      <c r="G17">
        <v>568337</v>
      </c>
      <c r="H17">
        <v>596679</v>
      </c>
      <c r="I17">
        <v>466307</v>
      </c>
      <c r="J17">
        <v>694673</v>
      </c>
      <c r="K17">
        <v>876396</v>
      </c>
    </row>
    <row r="18" spans="1:11" s="3" customFormat="1" x14ac:dyDescent="0.25">
      <c r="A18" s="2" t="s">
        <v>44</v>
      </c>
      <c r="B18">
        <v>363582</v>
      </c>
      <c r="C18">
        <v>292563</v>
      </c>
      <c r="D18">
        <v>186254</v>
      </c>
      <c r="E18">
        <v>217518</v>
      </c>
      <c r="F18">
        <v>276076</v>
      </c>
      <c r="G18">
        <v>399167</v>
      </c>
      <c r="H18">
        <v>410288</v>
      </c>
      <c r="I18">
        <v>301765</v>
      </c>
      <c r="J18">
        <v>494449</v>
      </c>
      <c r="K18">
        <v>618746</v>
      </c>
    </row>
    <row r="19" spans="1:11" s="3" customFormat="1" x14ac:dyDescent="0.25">
      <c r="A19" s="2" t="s">
        <v>45</v>
      </c>
      <c r="B19">
        <v>560</v>
      </c>
      <c r="C19">
        <v>-1483</v>
      </c>
      <c r="D19">
        <v>-2560</v>
      </c>
      <c r="E19">
        <v>5218</v>
      </c>
      <c r="F19">
        <v>8610</v>
      </c>
      <c r="G19">
        <v>4680</v>
      </c>
      <c r="H19">
        <v>5048</v>
      </c>
      <c r="I19">
        <v>9064</v>
      </c>
      <c r="J19">
        <v>21457</v>
      </c>
      <c r="K19">
        <v>30263</v>
      </c>
    </row>
    <row r="20" spans="1:11" s="3" customFormat="1" x14ac:dyDescent="0.25">
      <c r="A20" s="2" t="s">
        <v>46</v>
      </c>
      <c r="B20">
        <v>10855</v>
      </c>
      <c r="C20">
        <v>13261</v>
      </c>
      <c r="D20">
        <v>10741</v>
      </c>
      <c r="E20">
        <v>11251</v>
      </c>
      <c r="F20">
        <v>14569</v>
      </c>
      <c r="G20">
        <v>17029</v>
      </c>
      <c r="H20">
        <v>15098</v>
      </c>
      <c r="I20">
        <v>13214</v>
      </c>
      <c r="J20">
        <v>17902</v>
      </c>
      <c r="K20">
        <v>25062</v>
      </c>
    </row>
    <row r="21" spans="1:11" s="3" customFormat="1" x14ac:dyDescent="0.25">
      <c r="A21" s="2" t="s">
        <v>47</v>
      </c>
      <c r="B21">
        <v>7954</v>
      </c>
      <c r="C21">
        <v>8914</v>
      </c>
      <c r="D21">
        <v>8272</v>
      </c>
      <c r="E21">
        <v>9909</v>
      </c>
      <c r="F21">
        <v>9691</v>
      </c>
      <c r="G21">
        <v>12198</v>
      </c>
      <c r="H21">
        <v>11434</v>
      </c>
      <c r="I21">
        <v>7687</v>
      </c>
      <c r="J21">
        <v>12174</v>
      </c>
      <c r="K21">
        <v>19658</v>
      </c>
    </row>
    <row r="22" spans="1:11" s="3" customFormat="1" x14ac:dyDescent="0.25">
      <c r="A22" s="2" t="s">
        <v>48</v>
      </c>
      <c r="B22">
        <v>5572</v>
      </c>
      <c r="C22">
        <v>6262</v>
      </c>
      <c r="D22">
        <v>7407</v>
      </c>
      <c r="E22">
        <v>8388</v>
      </c>
      <c r="F22">
        <v>9523</v>
      </c>
      <c r="G22">
        <v>12488</v>
      </c>
      <c r="H22">
        <v>14075</v>
      </c>
      <c r="I22">
        <v>14817</v>
      </c>
      <c r="J22">
        <v>18758</v>
      </c>
      <c r="K22">
        <v>24872</v>
      </c>
    </row>
    <row r="23" spans="1:11" s="3" customFormat="1" x14ac:dyDescent="0.25">
      <c r="A23" s="2" t="s">
        <v>49</v>
      </c>
      <c r="B23">
        <v>10681</v>
      </c>
      <c r="C23">
        <v>12548</v>
      </c>
      <c r="D23">
        <v>18808</v>
      </c>
      <c r="E23">
        <v>18520</v>
      </c>
      <c r="F23">
        <v>29111</v>
      </c>
      <c r="G23">
        <v>50221</v>
      </c>
      <c r="H23">
        <v>62622</v>
      </c>
      <c r="I23">
        <v>56154</v>
      </c>
      <c r="J23">
        <v>63513</v>
      </c>
      <c r="K23">
        <v>75230</v>
      </c>
    </row>
    <row r="24" spans="1:11" s="3" customFormat="1" x14ac:dyDescent="0.25">
      <c r="A24" s="2" t="s">
        <v>50</v>
      </c>
      <c r="B24">
        <v>502</v>
      </c>
      <c r="C24">
        <v>1892</v>
      </c>
      <c r="D24">
        <v>-3240</v>
      </c>
      <c r="E24">
        <v>-2721</v>
      </c>
      <c r="F24">
        <v>-3852</v>
      </c>
      <c r="G24">
        <v>-2336</v>
      </c>
      <c r="H24">
        <v>-1056</v>
      </c>
      <c r="I24">
        <v>944</v>
      </c>
      <c r="J24">
        <v>753</v>
      </c>
      <c r="K24">
        <v>773</v>
      </c>
    </row>
    <row r="25" spans="1:11" s="3" customFormat="1" x14ac:dyDescent="0.25">
      <c r="A25" s="3" t="s">
        <v>4</v>
      </c>
      <c r="B25">
        <v>8865</v>
      </c>
      <c r="C25">
        <v>8528</v>
      </c>
      <c r="D25">
        <v>12212</v>
      </c>
      <c r="E25">
        <v>9222</v>
      </c>
      <c r="F25">
        <v>9869</v>
      </c>
      <c r="G25">
        <v>8406</v>
      </c>
      <c r="H25">
        <v>8570</v>
      </c>
      <c r="I25">
        <v>22432</v>
      </c>
      <c r="J25">
        <v>19600</v>
      </c>
      <c r="K25">
        <v>12020</v>
      </c>
    </row>
    <row r="26" spans="1:11" s="3" customFormat="1" x14ac:dyDescent="0.25">
      <c r="A26" s="3" t="s">
        <v>5</v>
      </c>
      <c r="B26">
        <v>11201</v>
      </c>
      <c r="C26">
        <v>11547</v>
      </c>
      <c r="D26">
        <v>11565</v>
      </c>
      <c r="E26">
        <v>11646</v>
      </c>
      <c r="F26">
        <v>16706</v>
      </c>
      <c r="G26">
        <v>20934</v>
      </c>
      <c r="H26">
        <v>22203</v>
      </c>
      <c r="I26">
        <v>26572</v>
      </c>
      <c r="J26">
        <v>29782</v>
      </c>
      <c r="K26">
        <v>40303</v>
      </c>
    </row>
    <row r="27" spans="1:11" s="3" customFormat="1" x14ac:dyDescent="0.25">
      <c r="A27" s="3" t="s">
        <v>6</v>
      </c>
      <c r="B27">
        <v>3836</v>
      </c>
      <c r="C27">
        <v>3316</v>
      </c>
      <c r="D27">
        <v>3691</v>
      </c>
      <c r="E27">
        <v>3849</v>
      </c>
      <c r="F27">
        <v>8052</v>
      </c>
      <c r="G27">
        <v>16495</v>
      </c>
      <c r="H27">
        <v>22027</v>
      </c>
      <c r="I27">
        <v>21189</v>
      </c>
      <c r="J27">
        <v>14584</v>
      </c>
      <c r="K27">
        <v>19571</v>
      </c>
    </row>
    <row r="28" spans="1:11" s="3" customFormat="1" x14ac:dyDescent="0.25">
      <c r="A28" s="3" t="s">
        <v>7</v>
      </c>
      <c r="B28">
        <v>28763</v>
      </c>
      <c r="C28">
        <v>31114</v>
      </c>
      <c r="D28">
        <v>38737</v>
      </c>
      <c r="E28">
        <v>40034</v>
      </c>
      <c r="F28">
        <v>49426</v>
      </c>
      <c r="G28">
        <v>55227</v>
      </c>
      <c r="H28">
        <v>53606</v>
      </c>
      <c r="I28">
        <v>55461</v>
      </c>
      <c r="J28">
        <v>83815</v>
      </c>
      <c r="K28">
        <v>94464</v>
      </c>
    </row>
    <row r="29" spans="1:11" s="3" customFormat="1" x14ac:dyDescent="0.25">
      <c r="A29" s="3" t="s">
        <v>8</v>
      </c>
      <c r="B29">
        <v>6215</v>
      </c>
      <c r="C29">
        <v>7474</v>
      </c>
      <c r="D29">
        <v>8876</v>
      </c>
      <c r="E29">
        <v>10201</v>
      </c>
      <c r="F29">
        <v>13346</v>
      </c>
      <c r="G29">
        <v>15390</v>
      </c>
      <c r="H29">
        <v>13726</v>
      </c>
      <c r="I29">
        <v>1722</v>
      </c>
      <c r="J29">
        <v>15970</v>
      </c>
      <c r="K29">
        <v>20376</v>
      </c>
    </row>
    <row r="30" spans="1:11" s="3" customFormat="1" x14ac:dyDescent="0.25">
      <c r="A30" s="3" t="s">
        <v>9</v>
      </c>
      <c r="B30">
        <v>22493</v>
      </c>
      <c r="C30">
        <v>23566</v>
      </c>
      <c r="D30">
        <v>29745</v>
      </c>
      <c r="E30">
        <v>29901</v>
      </c>
      <c r="F30">
        <v>36075</v>
      </c>
      <c r="G30">
        <v>39588</v>
      </c>
      <c r="H30">
        <v>39354</v>
      </c>
      <c r="I30">
        <v>49128</v>
      </c>
      <c r="J30">
        <v>60705</v>
      </c>
      <c r="K30">
        <v>66702</v>
      </c>
    </row>
    <row r="31" spans="1:11" s="3" customFormat="1" x14ac:dyDescent="0.25">
      <c r="A31" s="3" t="s">
        <v>34</v>
      </c>
      <c r="B31">
        <v>2793</v>
      </c>
      <c r="C31">
        <v>2943</v>
      </c>
      <c r="D31">
        <v>3095.4</v>
      </c>
      <c r="E31">
        <v>3254.9</v>
      </c>
      <c r="F31">
        <v>3553.2</v>
      </c>
      <c r="G31">
        <v>3851.9</v>
      </c>
      <c r="H31">
        <v>4120.3500000000004</v>
      </c>
      <c r="I31">
        <v>4511.5</v>
      </c>
      <c r="J31">
        <v>5412</v>
      </c>
      <c r="K31">
        <v>6089.4</v>
      </c>
    </row>
    <row r="32" spans="1:11" s="3" customFormat="1" x14ac:dyDescent="0.25"/>
    <row r="33" spans="1:11" x14ac:dyDescent="0.25">
      <c r="A33" s="3" t="s">
        <v>66</v>
      </c>
      <c r="B33" s="16">
        <f>B30+B29+B27+B26</f>
        <v>43745</v>
      </c>
      <c r="C33" s="16">
        <f t="shared" ref="C33:K33" si="0">C30+C29+C27+C26</f>
        <v>45903</v>
      </c>
      <c r="D33" s="16">
        <f t="shared" si="0"/>
        <v>53877</v>
      </c>
      <c r="E33" s="16">
        <f t="shared" si="0"/>
        <v>55597</v>
      </c>
      <c r="F33" s="16">
        <f t="shared" si="0"/>
        <v>74179</v>
      </c>
      <c r="G33" s="16">
        <f t="shared" si="0"/>
        <v>92407</v>
      </c>
      <c r="H33" s="16">
        <f t="shared" si="0"/>
        <v>97310</v>
      </c>
      <c r="I33" s="16">
        <f t="shared" si="0"/>
        <v>98611</v>
      </c>
      <c r="J33" s="16">
        <f t="shared" si="0"/>
        <v>121041</v>
      </c>
      <c r="K33" s="16">
        <f t="shared" si="0"/>
        <v>146952</v>
      </c>
    </row>
    <row r="34" spans="1:11" x14ac:dyDescent="0.25">
      <c r="A34" s="3"/>
    </row>
    <row r="35" spans="1:11" x14ac:dyDescent="0.25">
      <c r="A35" s="3"/>
    </row>
    <row r="36" spans="1:11" x14ac:dyDescent="0.25">
      <c r="A36" s="3"/>
    </row>
    <row r="37" spans="1:11" x14ac:dyDescent="0.25">
      <c r="A37" s="3"/>
    </row>
    <row r="38" spans="1:11" x14ac:dyDescent="0.25">
      <c r="A38" s="3"/>
    </row>
    <row r="39" spans="1:11" x14ac:dyDescent="0.25">
      <c r="A39" s="3"/>
    </row>
    <row r="40" spans="1:11" x14ac:dyDescent="0.25">
      <c r="A40" s="1" t="s">
        <v>24</v>
      </c>
    </row>
    <row r="41" spans="1:11" s="6" customFormat="1" x14ac:dyDescent="0.25">
      <c r="A41" s="5" t="s">
        <v>23</v>
      </c>
      <c r="B41" s="4">
        <v>44286</v>
      </c>
      <c r="C41" s="4">
        <v>44377</v>
      </c>
      <c r="D41" s="4">
        <v>44469</v>
      </c>
      <c r="E41" s="4">
        <v>44561</v>
      </c>
      <c r="F41" s="4">
        <v>44651</v>
      </c>
      <c r="G41" s="4">
        <v>44742</v>
      </c>
      <c r="H41" s="4">
        <v>44834</v>
      </c>
      <c r="I41" s="4">
        <v>44926</v>
      </c>
      <c r="J41" s="4">
        <v>45016</v>
      </c>
      <c r="K41" s="4">
        <v>45107</v>
      </c>
    </row>
    <row r="42" spans="1:11" s="3" customFormat="1" x14ac:dyDescent="0.25">
      <c r="A42" s="3" t="s">
        <v>1</v>
      </c>
      <c r="B42">
        <v>149575</v>
      </c>
      <c r="C42">
        <v>139949</v>
      </c>
      <c r="D42">
        <v>167611</v>
      </c>
      <c r="E42">
        <v>185027</v>
      </c>
      <c r="F42">
        <v>207375</v>
      </c>
      <c r="G42">
        <v>218855</v>
      </c>
      <c r="H42">
        <v>230055</v>
      </c>
      <c r="I42">
        <v>217164</v>
      </c>
      <c r="J42">
        <v>212834</v>
      </c>
      <c r="K42">
        <v>207559</v>
      </c>
    </row>
    <row r="43" spans="1:11" s="3" customFormat="1" x14ac:dyDescent="0.25">
      <c r="A43" s="3" t="s">
        <v>2</v>
      </c>
      <c r="B43">
        <v>126224</v>
      </c>
      <c r="C43">
        <v>116618</v>
      </c>
      <c r="D43">
        <v>141591</v>
      </c>
      <c r="E43">
        <v>155321</v>
      </c>
      <c r="F43">
        <v>176009</v>
      </c>
      <c r="G43">
        <v>181157</v>
      </c>
      <c r="H43">
        <v>198906</v>
      </c>
      <c r="I43">
        <v>181917</v>
      </c>
      <c r="J43">
        <v>174478</v>
      </c>
      <c r="K43">
        <v>169466</v>
      </c>
    </row>
    <row r="44" spans="1:11" s="3" customFormat="1" x14ac:dyDescent="0.25">
      <c r="A44" s="3" t="s">
        <v>4</v>
      </c>
      <c r="B44">
        <v>4048</v>
      </c>
      <c r="C44">
        <v>4219</v>
      </c>
      <c r="D44">
        <v>4263</v>
      </c>
      <c r="E44">
        <v>7016</v>
      </c>
      <c r="F44">
        <v>2602</v>
      </c>
      <c r="G44">
        <v>2275</v>
      </c>
      <c r="H44">
        <v>3514</v>
      </c>
      <c r="I44">
        <v>3213</v>
      </c>
      <c r="J44">
        <v>2996</v>
      </c>
      <c r="K44">
        <v>3889</v>
      </c>
    </row>
    <row r="45" spans="1:11" s="3" customFormat="1" x14ac:dyDescent="0.25">
      <c r="A45" s="3" t="s">
        <v>5</v>
      </c>
      <c r="B45">
        <v>6973</v>
      </c>
      <c r="C45">
        <v>6883</v>
      </c>
      <c r="D45">
        <v>7230</v>
      </c>
      <c r="E45">
        <v>7683</v>
      </c>
      <c r="F45">
        <v>8001</v>
      </c>
      <c r="G45">
        <v>8942</v>
      </c>
      <c r="H45">
        <v>9730</v>
      </c>
      <c r="I45">
        <v>10187</v>
      </c>
      <c r="J45">
        <v>11452</v>
      </c>
      <c r="K45">
        <v>11775</v>
      </c>
    </row>
    <row r="46" spans="1:11" s="3" customFormat="1" x14ac:dyDescent="0.25">
      <c r="A46" s="3" t="s">
        <v>6</v>
      </c>
      <c r="B46">
        <v>4044</v>
      </c>
      <c r="C46">
        <v>3397</v>
      </c>
      <c r="D46">
        <v>3819</v>
      </c>
      <c r="E46">
        <v>3812</v>
      </c>
      <c r="F46">
        <v>3556</v>
      </c>
      <c r="G46">
        <v>3997</v>
      </c>
      <c r="H46">
        <v>4554</v>
      </c>
      <c r="I46">
        <v>5201</v>
      </c>
      <c r="J46">
        <v>5819</v>
      </c>
      <c r="K46">
        <v>5837</v>
      </c>
    </row>
    <row r="47" spans="1:11" s="3" customFormat="1" x14ac:dyDescent="0.25">
      <c r="A47" s="3" t="s">
        <v>7</v>
      </c>
      <c r="B47">
        <v>16382</v>
      </c>
      <c r="C47">
        <v>17270</v>
      </c>
      <c r="D47">
        <v>19234</v>
      </c>
      <c r="E47">
        <v>25227</v>
      </c>
      <c r="F47">
        <v>22411</v>
      </c>
      <c r="G47">
        <v>27034</v>
      </c>
      <c r="H47">
        <v>20379</v>
      </c>
      <c r="I47">
        <v>23072</v>
      </c>
      <c r="J47">
        <v>24081</v>
      </c>
      <c r="K47">
        <v>24370</v>
      </c>
    </row>
    <row r="48" spans="1:11" s="3" customFormat="1" x14ac:dyDescent="0.25">
      <c r="A48" s="3" t="s">
        <v>8</v>
      </c>
      <c r="B48">
        <v>1387</v>
      </c>
      <c r="C48">
        <v>3464</v>
      </c>
      <c r="D48">
        <v>3755</v>
      </c>
      <c r="E48">
        <v>4688</v>
      </c>
      <c r="F48">
        <v>4390</v>
      </c>
      <c r="G48">
        <v>7591</v>
      </c>
      <c r="H48">
        <v>4867</v>
      </c>
      <c r="I48">
        <v>5266</v>
      </c>
      <c r="J48">
        <v>2754</v>
      </c>
      <c r="K48">
        <v>6112</v>
      </c>
    </row>
    <row r="49" spans="1:11" s="3" customFormat="1" x14ac:dyDescent="0.25">
      <c r="A49" s="3" t="s">
        <v>9</v>
      </c>
      <c r="B49">
        <v>13227</v>
      </c>
      <c r="C49">
        <v>12273</v>
      </c>
      <c r="D49">
        <v>13680</v>
      </c>
      <c r="E49">
        <v>18549</v>
      </c>
      <c r="F49">
        <v>16203</v>
      </c>
      <c r="G49">
        <v>17955</v>
      </c>
      <c r="H49">
        <v>13656</v>
      </c>
      <c r="I49">
        <v>15792</v>
      </c>
      <c r="J49">
        <v>19299</v>
      </c>
      <c r="K49">
        <v>16011</v>
      </c>
    </row>
    <row r="50" spans="1:11" x14ac:dyDescent="0.25">
      <c r="A50" s="3" t="s">
        <v>3</v>
      </c>
      <c r="B50">
        <v>23351</v>
      </c>
      <c r="C50">
        <v>23331</v>
      </c>
      <c r="D50">
        <v>26020</v>
      </c>
      <c r="E50">
        <v>29706</v>
      </c>
      <c r="F50">
        <v>31366</v>
      </c>
      <c r="G50">
        <v>37698</v>
      </c>
      <c r="H50">
        <v>31149</v>
      </c>
      <c r="I50">
        <v>35247</v>
      </c>
      <c r="J50">
        <v>38356</v>
      </c>
      <c r="K50">
        <v>38093</v>
      </c>
    </row>
    <row r="51" spans="1:11" x14ac:dyDescent="0.25">
      <c r="A51" s="3"/>
    </row>
    <row r="52" spans="1:11" x14ac:dyDescent="0.25">
      <c r="A52" s="3"/>
    </row>
    <row r="53" spans="1:11" x14ac:dyDescent="0.25">
      <c r="A53" s="3"/>
    </row>
    <row r="54" spans="1:11" x14ac:dyDescent="0.25">
      <c r="A54" s="3"/>
    </row>
    <row r="55" spans="1:11" x14ac:dyDescent="0.25">
      <c r="A55" s="1" t="s">
        <v>25</v>
      </c>
    </row>
    <row r="56" spans="1:11" s="6" customFormat="1" x14ac:dyDescent="0.25">
      <c r="A56" s="5" t="s">
        <v>23</v>
      </c>
      <c r="B56" s="4">
        <v>41729</v>
      </c>
      <c r="C56" s="4">
        <v>42094</v>
      </c>
      <c r="D56" s="4">
        <v>42460</v>
      </c>
      <c r="E56" s="4">
        <v>42825</v>
      </c>
      <c r="F56" s="4">
        <v>43190</v>
      </c>
      <c r="G56" s="4">
        <v>43555</v>
      </c>
      <c r="H56" s="4">
        <v>43921</v>
      </c>
      <c r="I56" s="4">
        <v>44286</v>
      </c>
      <c r="J56" s="4">
        <v>44651</v>
      </c>
      <c r="K56" s="4">
        <v>45016</v>
      </c>
    </row>
    <row r="57" spans="1:11" x14ac:dyDescent="0.25">
      <c r="A57" s="3" t="s">
        <v>10</v>
      </c>
      <c r="B57">
        <v>2940</v>
      </c>
      <c r="C57">
        <v>2943</v>
      </c>
      <c r="D57">
        <v>2948</v>
      </c>
      <c r="E57">
        <v>2959</v>
      </c>
      <c r="F57">
        <v>5922</v>
      </c>
      <c r="G57">
        <v>5926</v>
      </c>
      <c r="H57">
        <v>6339</v>
      </c>
      <c r="I57">
        <v>6445</v>
      </c>
      <c r="J57">
        <v>6765</v>
      </c>
      <c r="K57">
        <v>6766</v>
      </c>
    </row>
    <row r="58" spans="1:11" x14ac:dyDescent="0.25">
      <c r="A58" s="3" t="s">
        <v>11</v>
      </c>
      <c r="B58">
        <v>195747</v>
      </c>
      <c r="C58">
        <v>215556</v>
      </c>
      <c r="D58">
        <v>228608</v>
      </c>
      <c r="E58">
        <v>260750</v>
      </c>
      <c r="F58">
        <v>287584</v>
      </c>
      <c r="G58">
        <v>381186</v>
      </c>
      <c r="H58">
        <v>442827</v>
      </c>
      <c r="I58">
        <v>693727</v>
      </c>
      <c r="J58">
        <v>772720</v>
      </c>
      <c r="K58">
        <v>709106</v>
      </c>
    </row>
    <row r="59" spans="1:11" x14ac:dyDescent="0.25">
      <c r="A59" s="3" t="s">
        <v>35</v>
      </c>
      <c r="B59">
        <v>138761</v>
      </c>
      <c r="C59">
        <v>168251</v>
      </c>
      <c r="D59">
        <v>194714</v>
      </c>
      <c r="E59">
        <v>217475</v>
      </c>
      <c r="F59">
        <v>239843</v>
      </c>
      <c r="G59">
        <v>307714</v>
      </c>
      <c r="H59">
        <v>355133</v>
      </c>
      <c r="I59">
        <v>278962</v>
      </c>
      <c r="J59">
        <v>319158</v>
      </c>
      <c r="K59">
        <v>451664</v>
      </c>
    </row>
    <row r="60" spans="1:11" x14ac:dyDescent="0.25">
      <c r="A60" s="3" t="s">
        <v>36</v>
      </c>
      <c r="B60">
        <v>91395</v>
      </c>
      <c r="C60">
        <v>117736</v>
      </c>
      <c r="D60">
        <v>172727</v>
      </c>
      <c r="E60">
        <v>225618</v>
      </c>
      <c r="F60">
        <v>277924</v>
      </c>
      <c r="G60">
        <v>302804</v>
      </c>
      <c r="H60">
        <v>358716</v>
      </c>
      <c r="I60">
        <v>340931</v>
      </c>
      <c r="J60">
        <v>399979</v>
      </c>
      <c r="K60">
        <v>438346</v>
      </c>
    </row>
    <row r="61" spans="1:11" s="1" customFormat="1" x14ac:dyDescent="0.25">
      <c r="A61" s="1" t="s">
        <v>12</v>
      </c>
      <c r="B61">
        <v>428843</v>
      </c>
      <c r="C61">
        <v>504486</v>
      </c>
      <c r="D61">
        <v>598997</v>
      </c>
      <c r="E61">
        <v>706802</v>
      </c>
      <c r="F61">
        <v>811273</v>
      </c>
      <c r="G61">
        <v>997630</v>
      </c>
      <c r="H61">
        <v>1163015</v>
      </c>
      <c r="I61">
        <v>1320065</v>
      </c>
      <c r="J61">
        <v>1498622</v>
      </c>
      <c r="K61">
        <v>1605882</v>
      </c>
    </row>
    <row r="62" spans="1:11" x14ac:dyDescent="0.25">
      <c r="A62" s="3" t="s">
        <v>13</v>
      </c>
      <c r="B62">
        <v>141417</v>
      </c>
      <c r="C62">
        <v>156458</v>
      </c>
      <c r="D62">
        <v>184910</v>
      </c>
      <c r="E62">
        <v>198526</v>
      </c>
      <c r="F62">
        <v>403885</v>
      </c>
      <c r="G62">
        <v>398374</v>
      </c>
      <c r="H62">
        <v>532658</v>
      </c>
      <c r="I62">
        <v>541258</v>
      </c>
      <c r="J62">
        <v>627798</v>
      </c>
      <c r="K62">
        <v>724805</v>
      </c>
    </row>
    <row r="63" spans="1:11" x14ac:dyDescent="0.25">
      <c r="A63" s="3" t="s">
        <v>14</v>
      </c>
      <c r="B63">
        <v>91494</v>
      </c>
      <c r="C63">
        <v>166462</v>
      </c>
      <c r="D63">
        <v>228697</v>
      </c>
      <c r="E63">
        <v>324837</v>
      </c>
      <c r="F63">
        <v>187022</v>
      </c>
      <c r="G63">
        <v>179463</v>
      </c>
      <c r="H63">
        <v>109106</v>
      </c>
      <c r="I63">
        <v>125953</v>
      </c>
      <c r="J63">
        <v>172506</v>
      </c>
      <c r="K63">
        <v>293752</v>
      </c>
    </row>
    <row r="64" spans="1:11" x14ac:dyDescent="0.25">
      <c r="A64" s="3" t="s">
        <v>15</v>
      </c>
      <c r="B64">
        <v>60602</v>
      </c>
      <c r="C64">
        <v>76451</v>
      </c>
      <c r="D64">
        <v>84015</v>
      </c>
      <c r="E64">
        <v>82899</v>
      </c>
      <c r="F64">
        <v>82862</v>
      </c>
      <c r="G64">
        <v>235635</v>
      </c>
      <c r="H64">
        <v>276767</v>
      </c>
      <c r="I64">
        <v>364828</v>
      </c>
      <c r="J64">
        <v>394264</v>
      </c>
      <c r="K64">
        <v>235560</v>
      </c>
    </row>
    <row r="65" spans="1:11" x14ac:dyDescent="0.25">
      <c r="A65" s="3" t="s">
        <v>37</v>
      </c>
      <c r="B65">
        <v>135330</v>
      </c>
      <c r="C65">
        <v>105115</v>
      </c>
      <c r="D65">
        <v>101375</v>
      </c>
      <c r="E65">
        <v>100540</v>
      </c>
      <c r="F65">
        <v>137504</v>
      </c>
      <c r="G65">
        <v>184158</v>
      </c>
      <c r="H65">
        <v>244484</v>
      </c>
      <c r="I65">
        <v>288026</v>
      </c>
      <c r="J65">
        <v>304054</v>
      </c>
      <c r="K65">
        <v>351765</v>
      </c>
    </row>
    <row r="66" spans="1:11" s="1" customFormat="1" x14ac:dyDescent="0.25">
      <c r="A66" s="1" t="s">
        <v>12</v>
      </c>
      <c r="B66">
        <v>428843</v>
      </c>
      <c r="C66">
        <v>504486</v>
      </c>
      <c r="D66">
        <v>598997</v>
      </c>
      <c r="E66">
        <v>706802</v>
      </c>
      <c r="F66">
        <v>811273</v>
      </c>
      <c r="G66">
        <v>997630</v>
      </c>
      <c r="H66">
        <v>1163015</v>
      </c>
      <c r="I66">
        <v>1320065</v>
      </c>
      <c r="J66">
        <v>1498622</v>
      </c>
      <c r="K66">
        <v>1605882</v>
      </c>
    </row>
    <row r="67" spans="1:11" s="3" customFormat="1" x14ac:dyDescent="0.25">
      <c r="A67" s="3" t="s">
        <v>42</v>
      </c>
      <c r="B67">
        <v>9411</v>
      </c>
      <c r="C67">
        <v>5315</v>
      </c>
      <c r="D67">
        <v>4465</v>
      </c>
      <c r="E67">
        <v>8177</v>
      </c>
      <c r="F67">
        <v>17555</v>
      </c>
      <c r="G67">
        <v>30089</v>
      </c>
      <c r="H67">
        <v>19656</v>
      </c>
      <c r="I67">
        <v>19014</v>
      </c>
      <c r="J67">
        <v>23640</v>
      </c>
      <c r="K67">
        <v>28448</v>
      </c>
    </row>
    <row r="68" spans="1:11" x14ac:dyDescent="0.25">
      <c r="A68" s="3" t="s">
        <v>29</v>
      </c>
      <c r="B68">
        <v>56720</v>
      </c>
      <c r="C68">
        <v>53248</v>
      </c>
      <c r="D68">
        <v>46486</v>
      </c>
      <c r="E68">
        <v>48951</v>
      </c>
      <c r="F68">
        <v>60837</v>
      </c>
      <c r="G68">
        <v>67561</v>
      </c>
      <c r="H68">
        <v>73903</v>
      </c>
      <c r="I68">
        <v>81672</v>
      </c>
      <c r="J68">
        <v>107778</v>
      </c>
      <c r="K68">
        <v>140008</v>
      </c>
    </row>
    <row r="69" spans="1:11" x14ac:dyDescent="0.25">
      <c r="A69" s="2" t="s">
        <v>51</v>
      </c>
      <c r="B69">
        <v>37984</v>
      </c>
      <c r="C69">
        <v>12545</v>
      </c>
      <c r="D69">
        <v>11028</v>
      </c>
      <c r="E69">
        <v>3023</v>
      </c>
      <c r="F69">
        <v>4255</v>
      </c>
      <c r="G69">
        <v>11081</v>
      </c>
      <c r="H69">
        <v>30920</v>
      </c>
      <c r="I69">
        <v>17397</v>
      </c>
      <c r="J69">
        <v>36178</v>
      </c>
      <c r="K69">
        <v>68664</v>
      </c>
    </row>
    <row r="70" spans="1:11" x14ac:dyDescent="0.25">
      <c r="A70" s="2" t="s">
        <v>38</v>
      </c>
      <c r="B70">
        <v>2939547231</v>
      </c>
      <c r="C70">
        <v>2943334138</v>
      </c>
      <c r="D70">
        <v>2948021694</v>
      </c>
      <c r="E70">
        <v>2958924277</v>
      </c>
      <c r="F70">
        <v>5921826196</v>
      </c>
      <c r="G70">
        <v>5925868997</v>
      </c>
      <c r="H70">
        <v>6339267510</v>
      </c>
      <c r="I70">
        <v>6762068814</v>
      </c>
      <c r="J70">
        <v>6765994014</v>
      </c>
      <c r="K70">
        <v>6766094014</v>
      </c>
    </row>
    <row r="71" spans="1:11" x14ac:dyDescent="0.25">
      <c r="A71" s="2" t="s">
        <v>39</v>
      </c>
      <c r="F71">
        <v>2959863235</v>
      </c>
      <c r="G71">
        <v>2959863235</v>
      </c>
    </row>
    <row r="72" spans="1:11" x14ac:dyDescent="0.25">
      <c r="A72" s="2" t="s">
        <v>52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</row>
    <row r="74" spans="1:11" x14ac:dyDescent="0.25">
      <c r="A74" s="3"/>
    </row>
    <row r="75" spans="1:11" x14ac:dyDescent="0.25">
      <c r="A75" s="3"/>
    </row>
    <row r="76" spans="1:11" x14ac:dyDescent="0.25">
      <c r="A76" s="3"/>
    </row>
    <row r="77" spans="1:11" x14ac:dyDescent="0.25">
      <c r="A77" s="3"/>
    </row>
    <row r="78" spans="1:11" x14ac:dyDescent="0.25">
      <c r="A78" s="3"/>
    </row>
    <row r="79" spans="1:11" x14ac:dyDescent="0.25">
      <c r="A79" s="3"/>
    </row>
    <row r="80" spans="1:11" x14ac:dyDescent="0.25">
      <c r="A80" s="1" t="s">
        <v>26</v>
      </c>
    </row>
    <row r="81" spans="1:11" s="6" customFormat="1" x14ac:dyDescent="0.25">
      <c r="A81" s="5" t="s">
        <v>23</v>
      </c>
      <c r="B81" s="4">
        <v>41729</v>
      </c>
      <c r="C81" s="4">
        <v>42094</v>
      </c>
      <c r="D81" s="4">
        <v>42460</v>
      </c>
      <c r="E81" s="4">
        <v>42825</v>
      </c>
      <c r="F81" s="4">
        <v>43190</v>
      </c>
      <c r="G81" s="4">
        <v>43555</v>
      </c>
      <c r="H81" s="4">
        <v>43921</v>
      </c>
      <c r="I81" s="4">
        <v>44286</v>
      </c>
      <c r="J81" s="4">
        <v>44651</v>
      </c>
      <c r="K81" s="4">
        <v>45016</v>
      </c>
    </row>
    <row r="82" spans="1:11" s="1" customFormat="1" x14ac:dyDescent="0.25">
      <c r="A82" s="3" t="s">
        <v>17</v>
      </c>
      <c r="B82">
        <v>43261</v>
      </c>
      <c r="C82">
        <v>34374</v>
      </c>
      <c r="D82">
        <v>38134</v>
      </c>
      <c r="E82">
        <v>49550</v>
      </c>
      <c r="F82">
        <v>71459</v>
      </c>
      <c r="G82">
        <v>42346</v>
      </c>
      <c r="H82">
        <v>94877</v>
      </c>
      <c r="I82">
        <v>26958</v>
      </c>
      <c r="J82">
        <v>110654</v>
      </c>
      <c r="K82">
        <v>115032</v>
      </c>
    </row>
    <row r="83" spans="1:11" s="3" customFormat="1" x14ac:dyDescent="0.25">
      <c r="A83" s="3" t="s">
        <v>18</v>
      </c>
      <c r="B83">
        <v>-73070</v>
      </c>
      <c r="C83">
        <v>-64706</v>
      </c>
      <c r="D83">
        <v>-36186</v>
      </c>
      <c r="E83">
        <v>-66201</v>
      </c>
      <c r="F83">
        <v>-68192</v>
      </c>
      <c r="G83">
        <v>-94507</v>
      </c>
      <c r="H83">
        <v>-72497</v>
      </c>
      <c r="I83">
        <v>-142385</v>
      </c>
      <c r="J83">
        <v>-109162</v>
      </c>
      <c r="K83">
        <v>-93001</v>
      </c>
    </row>
    <row r="84" spans="1:11" s="3" customFormat="1" x14ac:dyDescent="0.25">
      <c r="A84" s="3" t="s">
        <v>19</v>
      </c>
      <c r="B84">
        <v>13713</v>
      </c>
      <c r="C84">
        <v>8444</v>
      </c>
      <c r="D84">
        <v>-3210</v>
      </c>
      <c r="E84">
        <v>8617</v>
      </c>
      <c r="F84">
        <v>-2001</v>
      </c>
      <c r="G84">
        <v>55906</v>
      </c>
      <c r="H84">
        <v>-2541</v>
      </c>
      <c r="I84">
        <v>101904</v>
      </c>
      <c r="J84">
        <v>17289</v>
      </c>
      <c r="K84">
        <v>10455</v>
      </c>
    </row>
    <row r="85" spans="1:11" s="1" customFormat="1" x14ac:dyDescent="0.25">
      <c r="A85" s="3" t="s">
        <v>20</v>
      </c>
      <c r="B85">
        <v>-16096</v>
      </c>
      <c r="C85">
        <v>-21888</v>
      </c>
      <c r="D85">
        <v>-1262</v>
      </c>
      <c r="E85">
        <v>-8034</v>
      </c>
      <c r="F85">
        <v>1266</v>
      </c>
      <c r="G85">
        <v>3745</v>
      </c>
      <c r="H85">
        <v>19839</v>
      </c>
      <c r="I85">
        <v>-13523</v>
      </c>
      <c r="J85">
        <v>18781</v>
      </c>
      <c r="K85">
        <v>32486</v>
      </c>
    </row>
    <row r="86" spans="1:11" x14ac:dyDescent="0.25">
      <c r="A86" s="3"/>
    </row>
    <row r="87" spans="1:11" x14ac:dyDescent="0.25">
      <c r="A87" s="3"/>
    </row>
    <row r="88" spans="1:11" x14ac:dyDescent="0.25">
      <c r="A88" s="3"/>
    </row>
    <row r="89" spans="1:11" x14ac:dyDescent="0.25">
      <c r="A89" s="3"/>
    </row>
    <row r="90" spans="1:11" s="1" customFormat="1" x14ac:dyDescent="0.25">
      <c r="A90" s="1" t="s">
        <v>41</v>
      </c>
      <c r="B90">
        <v>422.91</v>
      </c>
      <c r="C90">
        <v>375.31</v>
      </c>
      <c r="D90">
        <v>474.91</v>
      </c>
      <c r="E90">
        <v>600.17999999999995</v>
      </c>
      <c r="F90">
        <v>802.15</v>
      </c>
      <c r="G90">
        <v>1238.8499999999999</v>
      </c>
      <c r="H90">
        <v>1012.12</v>
      </c>
      <c r="I90">
        <v>1837.56</v>
      </c>
      <c r="J90">
        <v>2417.0100000000002</v>
      </c>
      <c r="K90">
        <v>2138.41</v>
      </c>
    </row>
    <row r="92" spans="1:11" s="1" customFormat="1" x14ac:dyDescent="0.25">
      <c r="A92" s="1" t="s">
        <v>40</v>
      </c>
    </row>
    <row r="93" spans="1:11" x14ac:dyDescent="0.25">
      <c r="A93" s="2" t="s">
        <v>53</v>
      </c>
      <c r="B93" s="7">
        <v>689.48</v>
      </c>
      <c r="C93" s="7">
        <v>690.28</v>
      </c>
      <c r="D93" s="7">
        <v>691.28</v>
      </c>
      <c r="E93" s="7">
        <v>693.62</v>
      </c>
      <c r="F93" s="7">
        <v>675.7</v>
      </c>
      <c r="G93" s="7">
        <v>676.13</v>
      </c>
      <c r="H93" s="7">
        <v>676.19</v>
      </c>
      <c r="I93" s="7">
        <v>633.94000000000005</v>
      </c>
      <c r="J93" s="7">
        <v>676.49</v>
      </c>
      <c r="K93" s="7">
        <v>676.56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12F8-404B-46D1-956B-B3A8018C512B}">
  <dimension ref="B2:N68"/>
  <sheetViews>
    <sheetView showGridLines="0" workbookViewId="0">
      <pane ySplit="2" topLeftCell="A33" activePane="bottomLeft" state="frozen"/>
      <selection activeCell="B1" sqref="B1"/>
      <selection pane="bottomLeft" activeCell="B53" sqref="B53"/>
    </sheetView>
  </sheetViews>
  <sheetFormatPr defaultRowHeight="15" x14ac:dyDescent="0.25"/>
  <cols>
    <col min="1" max="1" width="1.85546875" customWidth="1"/>
    <col min="2" max="2" width="28" bestFit="1" customWidth="1"/>
    <col min="3" max="9" width="8.85546875" bestFit="1" customWidth="1"/>
    <col min="10" max="11" width="9.85546875" bestFit="1" customWidth="1"/>
    <col min="12" max="14" width="8.85546875" bestFit="1" customWidth="1"/>
  </cols>
  <sheetData>
    <row r="2" spans="2:14" x14ac:dyDescent="0.25">
      <c r="B2" s="54" t="s">
        <v>187</v>
      </c>
      <c r="C2" s="65">
        <v>40969</v>
      </c>
      <c r="D2" s="65">
        <v>41334</v>
      </c>
      <c r="E2" s="65">
        <v>41699</v>
      </c>
      <c r="F2" s="65">
        <v>42064</v>
      </c>
      <c r="G2" s="65">
        <v>42430</v>
      </c>
      <c r="H2" s="65">
        <v>42795</v>
      </c>
      <c r="I2" s="65">
        <v>43160</v>
      </c>
      <c r="J2" s="65">
        <v>43525</v>
      </c>
      <c r="K2" s="65">
        <v>43891</v>
      </c>
      <c r="L2" s="65">
        <v>44256</v>
      </c>
      <c r="M2" s="65">
        <v>44621</v>
      </c>
      <c r="N2" s="65">
        <v>44986</v>
      </c>
    </row>
    <row r="4" spans="2:14" x14ac:dyDescent="0.25">
      <c r="B4" s="74" t="s">
        <v>158</v>
      </c>
      <c r="C4" s="84">
        <v>2979</v>
      </c>
      <c r="D4" s="84">
        <v>2936</v>
      </c>
      <c r="E4" s="84">
        <v>2940</v>
      </c>
      <c r="F4" s="84">
        <v>2943</v>
      </c>
      <c r="G4" s="84">
        <v>2948</v>
      </c>
      <c r="H4" s="84">
        <v>2959</v>
      </c>
      <c r="I4" s="84">
        <v>5922</v>
      </c>
      <c r="J4" s="84">
        <v>5926</v>
      </c>
      <c r="K4" s="84">
        <v>6339</v>
      </c>
      <c r="L4" s="84">
        <v>6445</v>
      </c>
      <c r="M4" s="84">
        <v>6765</v>
      </c>
      <c r="N4" s="84">
        <v>6766</v>
      </c>
    </row>
    <row r="5" spans="2:14" x14ac:dyDescent="0.25">
      <c r="B5" s="11" t="s">
        <v>11</v>
      </c>
      <c r="C5" s="69">
        <v>166467</v>
      </c>
      <c r="D5" s="69">
        <v>179119</v>
      </c>
      <c r="E5" s="69">
        <v>195747</v>
      </c>
      <c r="F5" s="69">
        <v>215556</v>
      </c>
      <c r="G5" s="69">
        <v>228608</v>
      </c>
      <c r="H5" s="69">
        <v>260750</v>
      </c>
      <c r="I5" s="69">
        <v>287584</v>
      </c>
      <c r="J5" s="69">
        <v>381186</v>
      </c>
      <c r="K5" s="69">
        <v>442827</v>
      </c>
      <c r="L5" s="69">
        <v>693727</v>
      </c>
      <c r="M5" s="69">
        <v>772720</v>
      </c>
      <c r="N5" s="69">
        <v>709106</v>
      </c>
    </row>
    <row r="6" spans="2:14" x14ac:dyDescent="0.25">
      <c r="B6" s="11" t="s">
        <v>166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</row>
    <row r="7" spans="2:14" x14ac:dyDescent="0.25">
      <c r="B7" t="s">
        <v>159</v>
      </c>
      <c r="C7" s="69">
        <v>65352</v>
      </c>
      <c r="D7" s="69">
        <v>70960</v>
      </c>
      <c r="E7" s="69">
        <v>101019</v>
      </c>
      <c r="F7" s="69">
        <v>128165</v>
      </c>
      <c r="G7" s="69">
        <v>154957</v>
      </c>
      <c r="H7" s="69">
        <v>172285</v>
      </c>
      <c r="I7" s="69">
        <v>164385</v>
      </c>
      <c r="J7" s="69">
        <v>226345</v>
      </c>
      <c r="K7" s="69">
        <v>216470</v>
      </c>
      <c r="L7" s="69">
        <v>182520</v>
      </c>
      <c r="M7" s="69">
        <v>224883</v>
      </c>
      <c r="N7" s="69">
        <v>296023</v>
      </c>
    </row>
    <row r="8" spans="2:14" x14ac:dyDescent="0.25">
      <c r="B8" t="s">
        <v>160</v>
      </c>
      <c r="C8" s="69">
        <v>17283</v>
      </c>
      <c r="D8" s="69">
        <v>18362</v>
      </c>
      <c r="E8" s="69">
        <v>32792</v>
      </c>
      <c r="F8" s="69">
        <v>27965</v>
      </c>
      <c r="G8" s="69">
        <v>23545</v>
      </c>
      <c r="H8" s="69">
        <v>31528</v>
      </c>
      <c r="I8" s="69">
        <v>37429</v>
      </c>
      <c r="J8" s="69">
        <v>64436</v>
      </c>
      <c r="K8" s="69">
        <v>93786</v>
      </c>
      <c r="L8" s="69">
        <v>88128</v>
      </c>
      <c r="M8" s="69">
        <v>78606</v>
      </c>
      <c r="N8" s="69">
        <v>130790</v>
      </c>
    </row>
    <row r="9" spans="2:14" x14ac:dyDescent="0.25">
      <c r="B9" t="s">
        <v>161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69">
        <v>8314</v>
      </c>
      <c r="M9" s="69">
        <v>15669</v>
      </c>
      <c r="N9" s="69">
        <v>20426</v>
      </c>
    </row>
    <row r="10" spans="2:14" x14ac:dyDescent="0.25">
      <c r="B10" t="s">
        <v>162</v>
      </c>
      <c r="C10" s="69">
        <v>9812</v>
      </c>
      <c r="D10" s="69">
        <v>17897</v>
      </c>
      <c r="E10" s="69">
        <v>4950</v>
      </c>
      <c r="F10" s="69">
        <v>12121</v>
      </c>
      <c r="G10" s="69">
        <v>16212</v>
      </c>
      <c r="H10" s="69">
        <v>13662</v>
      </c>
      <c r="I10" s="69">
        <v>38029</v>
      </c>
      <c r="J10" s="69">
        <v>16933</v>
      </c>
      <c r="K10" s="69">
        <v>44877</v>
      </c>
      <c r="L10" s="35">
        <v>0</v>
      </c>
      <c r="M10" s="35">
        <v>0</v>
      </c>
      <c r="N10" s="69">
        <v>4425</v>
      </c>
    </row>
    <row r="11" spans="2:14" x14ac:dyDescent="0.25">
      <c r="B11" s="11" t="s">
        <v>167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r="12" spans="2:14" x14ac:dyDescent="0.25">
      <c r="B12" t="s">
        <v>163</v>
      </c>
      <c r="C12" s="35">
        <v>799</v>
      </c>
      <c r="D12" s="35">
        <v>949</v>
      </c>
      <c r="E12" s="35">
        <v>959</v>
      </c>
      <c r="F12" s="69">
        <v>3038</v>
      </c>
      <c r="G12" s="69">
        <v>3356</v>
      </c>
      <c r="H12" s="69">
        <v>2917</v>
      </c>
      <c r="I12" s="69">
        <v>3539</v>
      </c>
      <c r="J12" s="69">
        <v>8280</v>
      </c>
      <c r="K12" s="69">
        <v>12181</v>
      </c>
      <c r="L12" s="69">
        <v>99260</v>
      </c>
      <c r="M12" s="69">
        <v>109499</v>
      </c>
      <c r="N12" s="69">
        <v>113009</v>
      </c>
    </row>
    <row r="13" spans="2:14" x14ac:dyDescent="0.25">
      <c r="B13" t="s">
        <v>164</v>
      </c>
      <c r="C13" s="69">
        <v>40368</v>
      </c>
      <c r="D13" s="69">
        <v>49700</v>
      </c>
      <c r="E13" s="69">
        <v>60860</v>
      </c>
      <c r="F13" s="69">
        <v>59407</v>
      </c>
      <c r="G13" s="69">
        <v>60296</v>
      </c>
      <c r="H13" s="69">
        <v>76595</v>
      </c>
      <c r="I13" s="69">
        <v>106861</v>
      </c>
      <c r="J13" s="69">
        <v>108309</v>
      </c>
      <c r="K13" s="69">
        <v>96799</v>
      </c>
      <c r="L13" s="69">
        <v>108897</v>
      </c>
      <c r="M13" s="69">
        <v>159330</v>
      </c>
      <c r="N13" s="69">
        <v>147172</v>
      </c>
    </row>
    <row r="14" spans="2:14" x14ac:dyDescent="0.25">
      <c r="B14" t="s">
        <v>165</v>
      </c>
      <c r="C14" s="25">
        <v>24131</v>
      </c>
      <c r="D14" s="25">
        <v>22434</v>
      </c>
      <c r="E14" s="25">
        <v>29576</v>
      </c>
      <c r="F14" s="25">
        <v>55291</v>
      </c>
      <c r="G14" s="25">
        <v>109075</v>
      </c>
      <c r="H14" s="25">
        <v>146106</v>
      </c>
      <c r="I14" s="25">
        <v>167524</v>
      </c>
      <c r="J14" s="25">
        <v>186215</v>
      </c>
      <c r="K14" s="25">
        <v>249736</v>
      </c>
      <c r="L14" s="25">
        <v>132774</v>
      </c>
      <c r="M14" s="25">
        <v>131150</v>
      </c>
      <c r="N14" s="25">
        <v>178165</v>
      </c>
    </row>
    <row r="15" spans="2:14" x14ac:dyDescent="0.25">
      <c r="B15" s="74" t="s">
        <v>82</v>
      </c>
      <c r="C15" s="78">
        <v>327191</v>
      </c>
      <c r="D15" s="78">
        <v>362357</v>
      </c>
      <c r="E15" s="78">
        <v>428843</v>
      </c>
      <c r="F15" s="78">
        <v>504486</v>
      </c>
      <c r="G15" s="78">
        <v>598997</v>
      </c>
      <c r="H15" s="78">
        <v>706802</v>
      </c>
      <c r="I15" s="78">
        <v>811273</v>
      </c>
      <c r="J15" s="78">
        <v>997630</v>
      </c>
      <c r="K15" s="78">
        <v>1163015</v>
      </c>
      <c r="L15" s="78">
        <v>1320065</v>
      </c>
      <c r="M15" s="78">
        <v>1498622</v>
      </c>
      <c r="N15" s="78">
        <v>1605882</v>
      </c>
    </row>
    <row r="16" spans="2:14" x14ac:dyDescent="0.25"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2:14" x14ac:dyDescent="0.25">
      <c r="B17" s="74" t="s">
        <v>168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</row>
    <row r="18" spans="2:14" x14ac:dyDescent="0.25">
      <c r="B18" t="s">
        <v>169</v>
      </c>
      <c r="C18" s="69">
        <v>8806</v>
      </c>
      <c r="D18" s="69">
        <v>9291</v>
      </c>
      <c r="E18" s="69">
        <v>9378</v>
      </c>
      <c r="F18" s="69">
        <v>9859</v>
      </c>
      <c r="G18" s="69">
        <v>63734</v>
      </c>
      <c r="H18" s="69">
        <v>65973</v>
      </c>
      <c r="I18" s="69">
        <v>66765</v>
      </c>
      <c r="J18" s="69">
        <v>49371</v>
      </c>
      <c r="K18" s="69">
        <v>68743</v>
      </c>
      <c r="L18" s="69">
        <v>68768</v>
      </c>
      <c r="M18" s="69">
        <v>69855</v>
      </c>
      <c r="N18" s="69">
        <v>79697</v>
      </c>
    </row>
    <row r="19" spans="2:14" x14ac:dyDescent="0.25">
      <c r="B19" t="s">
        <v>170</v>
      </c>
      <c r="C19" s="69">
        <v>11458</v>
      </c>
      <c r="D19" s="69">
        <v>11939</v>
      </c>
      <c r="E19" s="69">
        <v>13239</v>
      </c>
      <c r="F19" s="69">
        <v>13967</v>
      </c>
      <c r="G19" s="69">
        <v>15283</v>
      </c>
      <c r="H19" s="69">
        <v>18813</v>
      </c>
      <c r="I19" s="69">
        <v>22194</v>
      </c>
      <c r="J19" s="69">
        <v>27672</v>
      </c>
      <c r="K19" s="69">
        <v>34380</v>
      </c>
      <c r="L19" s="69">
        <v>36781</v>
      </c>
      <c r="M19" s="69">
        <v>47561</v>
      </c>
      <c r="N19" s="69">
        <v>69747</v>
      </c>
    </row>
    <row r="20" spans="2:14" x14ac:dyDescent="0.25">
      <c r="B20" t="s">
        <v>171</v>
      </c>
      <c r="C20" s="69">
        <v>140238</v>
      </c>
      <c r="D20" s="69">
        <v>142991</v>
      </c>
      <c r="E20" s="69">
        <v>147313</v>
      </c>
      <c r="F20" s="69">
        <v>158698</v>
      </c>
      <c r="G20" s="69">
        <v>168888</v>
      </c>
      <c r="H20" s="69">
        <v>179326</v>
      </c>
      <c r="I20" s="69">
        <v>325183</v>
      </c>
      <c r="J20" s="69">
        <v>318853</v>
      </c>
      <c r="K20" s="69">
        <v>449770</v>
      </c>
      <c r="L20" s="69">
        <v>471201</v>
      </c>
      <c r="M20" s="69">
        <v>518865</v>
      </c>
      <c r="N20" s="69">
        <v>557687</v>
      </c>
    </row>
    <row r="21" spans="2:14" x14ac:dyDescent="0.25">
      <c r="B21" t="s">
        <v>172</v>
      </c>
      <c r="C21" s="35">
        <v>396</v>
      </c>
      <c r="D21" s="35">
        <v>387</v>
      </c>
      <c r="E21" s="35">
        <v>387</v>
      </c>
      <c r="F21" s="35">
        <v>397</v>
      </c>
      <c r="G21" s="35">
        <v>422</v>
      </c>
      <c r="H21" s="69">
        <v>3484</v>
      </c>
      <c r="I21" s="69">
        <v>5038</v>
      </c>
      <c r="J21" s="35">
        <v>417</v>
      </c>
      <c r="K21" s="35">
        <v>502</v>
      </c>
      <c r="L21" s="35">
        <v>515</v>
      </c>
      <c r="M21" s="35">
        <v>508</v>
      </c>
      <c r="N21" s="35">
        <v>508</v>
      </c>
    </row>
    <row r="22" spans="2:14" x14ac:dyDescent="0.25">
      <c r="B22" t="s">
        <v>173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69">
        <v>32638</v>
      </c>
      <c r="N22" s="69">
        <v>45067</v>
      </c>
    </row>
    <row r="23" spans="2:14" x14ac:dyDescent="0.25">
      <c r="B23" t="s">
        <v>174</v>
      </c>
      <c r="C23" s="69">
        <v>5294</v>
      </c>
      <c r="D23" s="69">
        <v>5460</v>
      </c>
      <c r="E23" s="69">
        <v>10035</v>
      </c>
      <c r="F23" s="69">
        <v>4835</v>
      </c>
      <c r="G23" s="69">
        <v>6282</v>
      </c>
      <c r="H23" s="69">
        <v>7848</v>
      </c>
      <c r="I23" s="69">
        <v>10146</v>
      </c>
      <c r="J23" s="69">
        <v>21817</v>
      </c>
      <c r="K23" s="69">
        <v>31211</v>
      </c>
      <c r="L23" s="69">
        <v>38039</v>
      </c>
      <c r="M23" s="69">
        <v>24970</v>
      </c>
      <c r="N23" s="69">
        <v>38161</v>
      </c>
    </row>
    <row r="24" spans="2:14" x14ac:dyDescent="0.25">
      <c r="B24" t="s">
        <v>175</v>
      </c>
      <c r="C24" s="35">
        <v>429</v>
      </c>
      <c r="D24" s="35">
        <v>497</v>
      </c>
      <c r="E24" s="35">
        <v>582</v>
      </c>
      <c r="F24" s="35">
        <v>710</v>
      </c>
      <c r="G24" s="35">
        <v>777</v>
      </c>
      <c r="H24" s="69">
        <v>1155</v>
      </c>
      <c r="I24" s="69">
        <v>1199</v>
      </c>
      <c r="J24" s="69">
        <v>1240</v>
      </c>
      <c r="K24" s="69">
        <v>1411</v>
      </c>
      <c r="L24" s="69">
        <v>2336</v>
      </c>
      <c r="M24" s="69">
        <v>2530</v>
      </c>
      <c r="N24" s="69">
        <v>3667</v>
      </c>
    </row>
    <row r="25" spans="2:14" x14ac:dyDescent="0.25">
      <c r="B25" t="s">
        <v>176</v>
      </c>
      <c r="C25" s="69">
        <v>54316</v>
      </c>
      <c r="D25" s="69">
        <v>57495</v>
      </c>
      <c r="E25" s="69">
        <v>70668</v>
      </c>
      <c r="F25" s="69">
        <v>88103</v>
      </c>
      <c r="G25" s="69">
        <v>68660</v>
      </c>
      <c r="H25" s="69">
        <v>75351</v>
      </c>
      <c r="I25" s="69">
        <v>76599</v>
      </c>
      <c r="J25" s="69">
        <v>86765</v>
      </c>
      <c r="K25" s="69">
        <v>81462</v>
      </c>
      <c r="L25" s="69">
        <v>77353</v>
      </c>
      <c r="M25" s="69">
        <v>65970</v>
      </c>
      <c r="N25" s="69">
        <v>85032</v>
      </c>
    </row>
    <row r="26" spans="2:14" x14ac:dyDescent="0.25">
      <c r="B26" t="s">
        <v>177</v>
      </c>
      <c r="C26" s="69">
        <v>12538</v>
      </c>
      <c r="D26" s="69">
        <v>12911</v>
      </c>
      <c r="E26" s="69">
        <v>9417</v>
      </c>
      <c r="F26" s="69">
        <v>12297</v>
      </c>
      <c r="G26" s="69">
        <v>11453</v>
      </c>
      <c r="H26" s="69">
        <v>9343</v>
      </c>
      <c r="I26" s="69">
        <v>74160</v>
      </c>
      <c r="J26" s="69">
        <v>90387</v>
      </c>
      <c r="K26" s="69">
        <v>76299</v>
      </c>
      <c r="L26" s="69">
        <v>80819</v>
      </c>
      <c r="M26" s="69">
        <v>120717</v>
      </c>
      <c r="N26" s="69">
        <v>138426</v>
      </c>
    </row>
    <row r="27" spans="2:14" x14ac:dyDescent="0.25">
      <c r="B27" s="11" t="s">
        <v>178</v>
      </c>
      <c r="C27" s="69">
        <v>233475</v>
      </c>
      <c r="D27" s="69">
        <v>240971</v>
      </c>
      <c r="E27" s="69">
        <v>261019</v>
      </c>
      <c r="F27" s="69">
        <v>288866</v>
      </c>
      <c r="G27" s="69">
        <v>335499</v>
      </c>
      <c r="H27" s="69">
        <v>361293</v>
      </c>
      <c r="I27" s="69">
        <v>581284</v>
      </c>
      <c r="J27" s="69">
        <v>596522</v>
      </c>
      <c r="K27" s="69">
        <v>743778</v>
      </c>
      <c r="L27" s="69">
        <v>775812</v>
      </c>
      <c r="M27" s="69">
        <v>883614</v>
      </c>
      <c r="N27" s="69">
        <v>1017992</v>
      </c>
    </row>
    <row r="28" spans="2:14" x14ac:dyDescent="0.25">
      <c r="B28" s="67" t="s">
        <v>179</v>
      </c>
      <c r="C28" s="68">
        <v>94661</v>
      </c>
      <c r="D28" s="68">
        <v>107484</v>
      </c>
      <c r="E28" s="68">
        <v>119602</v>
      </c>
      <c r="F28" s="68">
        <v>132408</v>
      </c>
      <c r="G28" s="68">
        <v>150589</v>
      </c>
      <c r="H28" s="68">
        <v>162767</v>
      </c>
      <c r="I28" s="68">
        <v>177399</v>
      </c>
      <c r="J28" s="68">
        <v>198148</v>
      </c>
      <c r="K28" s="68">
        <v>211120</v>
      </c>
      <c r="L28" s="68">
        <v>234554</v>
      </c>
      <c r="M28" s="68">
        <v>255816</v>
      </c>
      <c r="N28" s="68">
        <v>293187</v>
      </c>
    </row>
    <row r="29" spans="2:14" x14ac:dyDescent="0.25">
      <c r="B29" s="11" t="s">
        <v>13</v>
      </c>
      <c r="C29" s="25">
        <f t="shared" ref="C29:N29" si="0">C27-C28</f>
        <v>138814</v>
      </c>
      <c r="D29" s="25">
        <f t="shared" si="0"/>
        <v>133487</v>
      </c>
      <c r="E29" s="25">
        <f t="shared" si="0"/>
        <v>141417</v>
      </c>
      <c r="F29" s="25">
        <f t="shared" si="0"/>
        <v>156458</v>
      </c>
      <c r="G29" s="25">
        <f t="shared" si="0"/>
        <v>184910</v>
      </c>
      <c r="H29" s="25">
        <f t="shared" si="0"/>
        <v>198526</v>
      </c>
      <c r="I29" s="25">
        <f t="shared" si="0"/>
        <v>403885</v>
      </c>
      <c r="J29" s="25">
        <f t="shared" si="0"/>
        <v>398374</v>
      </c>
      <c r="K29" s="25">
        <f t="shared" si="0"/>
        <v>532658</v>
      </c>
      <c r="L29" s="25">
        <f t="shared" si="0"/>
        <v>541258</v>
      </c>
      <c r="M29" s="25">
        <f t="shared" si="0"/>
        <v>627798</v>
      </c>
      <c r="N29" s="25">
        <f t="shared" si="0"/>
        <v>724805</v>
      </c>
    </row>
    <row r="30" spans="2:14" x14ac:dyDescent="0.25">
      <c r="B30" s="11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2:14" x14ac:dyDescent="0.25">
      <c r="B31" s="74" t="s">
        <v>180</v>
      </c>
      <c r="C31" s="84">
        <v>25363</v>
      </c>
      <c r="D31" s="84">
        <v>49952</v>
      </c>
      <c r="E31" s="84">
        <v>91494</v>
      </c>
      <c r="F31" s="84">
        <v>166462</v>
      </c>
      <c r="G31" s="84">
        <v>228697</v>
      </c>
      <c r="H31" s="84">
        <v>324837</v>
      </c>
      <c r="I31" s="84">
        <v>187022</v>
      </c>
      <c r="J31" s="84">
        <v>179463</v>
      </c>
      <c r="K31" s="84">
        <v>109106</v>
      </c>
      <c r="L31" s="84">
        <v>125953</v>
      </c>
      <c r="M31" s="84">
        <v>172506</v>
      </c>
      <c r="N31" s="84">
        <v>293752</v>
      </c>
    </row>
    <row r="32" spans="2:14" x14ac:dyDescent="0.25">
      <c r="B32" s="85" t="s">
        <v>15</v>
      </c>
      <c r="C32" s="86">
        <v>38596</v>
      </c>
      <c r="D32" s="86">
        <v>42848</v>
      </c>
      <c r="E32" s="86">
        <v>60602</v>
      </c>
      <c r="F32" s="86">
        <v>76451</v>
      </c>
      <c r="G32" s="86">
        <v>84015</v>
      </c>
      <c r="H32" s="86">
        <v>82899</v>
      </c>
      <c r="I32" s="86">
        <v>82862</v>
      </c>
      <c r="J32" s="86">
        <v>235635</v>
      </c>
      <c r="K32" s="86">
        <v>276767</v>
      </c>
      <c r="L32" s="86">
        <v>364828</v>
      </c>
      <c r="M32" s="86">
        <v>394264</v>
      </c>
      <c r="N32" s="86">
        <v>235560</v>
      </c>
    </row>
    <row r="33" spans="2:14" x14ac:dyDescent="0.25"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2:14" x14ac:dyDescent="0.25">
      <c r="B34" s="74" t="s">
        <v>181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</row>
    <row r="35" spans="2:14" x14ac:dyDescent="0.25">
      <c r="B35" t="s">
        <v>182</v>
      </c>
      <c r="C35" s="69">
        <v>46692</v>
      </c>
      <c r="D35" s="69">
        <v>54601</v>
      </c>
      <c r="E35" s="69">
        <v>56720</v>
      </c>
      <c r="F35" s="69">
        <v>53248</v>
      </c>
      <c r="G35" s="69">
        <v>46486</v>
      </c>
      <c r="H35" s="69">
        <v>48951</v>
      </c>
      <c r="I35" s="69">
        <v>60837</v>
      </c>
      <c r="J35" s="69">
        <v>67561</v>
      </c>
      <c r="K35" s="69">
        <v>73903</v>
      </c>
      <c r="L35" s="69">
        <v>81672</v>
      </c>
      <c r="M35" s="69">
        <v>107778</v>
      </c>
      <c r="N35" s="69">
        <v>140008</v>
      </c>
    </row>
    <row r="36" spans="2:14" x14ac:dyDescent="0.25">
      <c r="B36" t="s">
        <v>183</v>
      </c>
      <c r="C36" s="69">
        <v>16939</v>
      </c>
      <c r="D36" s="69">
        <v>9750</v>
      </c>
      <c r="E36" s="69">
        <v>9411</v>
      </c>
      <c r="F36" s="69">
        <v>5315</v>
      </c>
      <c r="G36" s="69">
        <v>4465</v>
      </c>
      <c r="H36" s="69">
        <v>8177</v>
      </c>
      <c r="I36" s="69">
        <v>17555</v>
      </c>
      <c r="J36" s="69">
        <v>30089</v>
      </c>
      <c r="K36" s="69">
        <v>19656</v>
      </c>
      <c r="L36" s="69">
        <v>19014</v>
      </c>
      <c r="M36" s="69">
        <v>23640</v>
      </c>
      <c r="N36" s="69">
        <v>28448</v>
      </c>
    </row>
    <row r="37" spans="2:14" x14ac:dyDescent="0.25">
      <c r="B37" t="s">
        <v>184</v>
      </c>
      <c r="C37" s="69">
        <v>40731</v>
      </c>
      <c r="D37" s="69">
        <v>50456</v>
      </c>
      <c r="E37" s="69">
        <v>37984</v>
      </c>
      <c r="F37" s="69">
        <v>12545</v>
      </c>
      <c r="G37" s="69">
        <v>11028</v>
      </c>
      <c r="H37" s="69">
        <v>3023</v>
      </c>
      <c r="I37" s="69">
        <v>4255</v>
      </c>
      <c r="J37" s="69">
        <v>11081</v>
      </c>
      <c r="K37" s="69">
        <v>30920</v>
      </c>
      <c r="L37" s="69">
        <v>17397</v>
      </c>
      <c r="M37" s="69">
        <v>36178</v>
      </c>
      <c r="N37" s="69">
        <v>68664</v>
      </c>
    </row>
    <row r="38" spans="2:14" x14ac:dyDescent="0.25">
      <c r="B38" t="s">
        <v>185</v>
      </c>
      <c r="C38" s="35">
        <v>12</v>
      </c>
      <c r="D38" s="35">
        <v>84</v>
      </c>
      <c r="E38" s="35">
        <v>0</v>
      </c>
      <c r="F38" s="35">
        <v>0</v>
      </c>
      <c r="G38" s="35">
        <v>841</v>
      </c>
      <c r="H38" s="35">
        <v>996</v>
      </c>
      <c r="I38" s="69">
        <v>2327</v>
      </c>
      <c r="J38" s="35">
        <v>545</v>
      </c>
      <c r="K38" s="35">
        <v>669</v>
      </c>
      <c r="L38" s="35">
        <v>65</v>
      </c>
      <c r="M38" s="35">
        <v>130</v>
      </c>
      <c r="N38" s="35">
        <v>176</v>
      </c>
    </row>
    <row r="39" spans="2:14" x14ac:dyDescent="0.25">
      <c r="B39" t="s">
        <v>186</v>
      </c>
      <c r="C39" s="25">
        <v>20044</v>
      </c>
      <c r="D39" s="25">
        <v>21179</v>
      </c>
      <c r="E39" s="25">
        <v>31215</v>
      </c>
      <c r="F39" s="25">
        <v>34007</v>
      </c>
      <c r="G39" s="25">
        <v>38555</v>
      </c>
      <c r="H39" s="25">
        <v>39393</v>
      </c>
      <c r="I39" s="25">
        <v>52530</v>
      </c>
      <c r="J39" s="25">
        <v>74882</v>
      </c>
      <c r="K39" s="25">
        <v>119336</v>
      </c>
      <c r="L39" s="25">
        <v>169878</v>
      </c>
      <c r="M39" s="25">
        <v>136328</v>
      </c>
      <c r="N39" s="25">
        <v>114469</v>
      </c>
    </row>
    <row r="40" spans="2:14" x14ac:dyDescent="0.25">
      <c r="B40" s="74" t="s">
        <v>84</v>
      </c>
      <c r="C40" s="78">
        <v>327191</v>
      </c>
      <c r="D40" s="78">
        <v>362357</v>
      </c>
      <c r="E40" s="78">
        <v>428843</v>
      </c>
      <c r="F40" s="78">
        <v>504486</v>
      </c>
      <c r="G40" s="78">
        <v>598997</v>
      </c>
      <c r="H40" s="78">
        <v>706802</v>
      </c>
      <c r="I40" s="78">
        <v>811273</v>
      </c>
      <c r="J40" s="78">
        <v>997630</v>
      </c>
      <c r="K40" s="78">
        <v>1163015</v>
      </c>
      <c r="L40" s="78">
        <v>1320065</v>
      </c>
      <c r="M40" s="78">
        <v>1498622</v>
      </c>
      <c r="N40" s="78">
        <v>1605882</v>
      </c>
    </row>
    <row r="43" spans="2:14" x14ac:dyDescent="0.25">
      <c r="B43" t="s">
        <v>88</v>
      </c>
      <c r="C43" s="25">
        <v>24483</v>
      </c>
      <c r="D43" s="25">
        <v>36918</v>
      </c>
      <c r="E43" s="25">
        <v>43261</v>
      </c>
      <c r="F43" s="25">
        <v>34374</v>
      </c>
      <c r="G43" s="25">
        <v>38134</v>
      </c>
      <c r="H43" s="25">
        <v>49550</v>
      </c>
      <c r="I43" s="25">
        <v>71459</v>
      </c>
      <c r="J43" s="25">
        <v>42346</v>
      </c>
      <c r="K43" s="25">
        <v>94877</v>
      </c>
      <c r="L43" s="25">
        <v>26958</v>
      </c>
      <c r="M43" s="25">
        <v>110654</v>
      </c>
      <c r="N43" s="25">
        <v>115032</v>
      </c>
    </row>
    <row r="44" spans="2:14" x14ac:dyDescent="0.25">
      <c r="B44" t="s">
        <v>89</v>
      </c>
      <c r="C44" s="25">
        <v>36104</v>
      </c>
      <c r="D44" s="25">
        <v>34373</v>
      </c>
      <c r="E44" s="25">
        <v>38444</v>
      </c>
      <c r="F44" s="25">
        <v>38994</v>
      </c>
      <c r="G44" s="25">
        <v>38887</v>
      </c>
      <c r="H44" s="25">
        <v>44170</v>
      </c>
      <c r="I44" s="25">
        <v>62765</v>
      </c>
      <c r="J44" s="25">
        <v>83319</v>
      </c>
      <c r="K44" s="25">
        <v>85347</v>
      </c>
      <c r="L44" s="25">
        <v>80129</v>
      </c>
      <c r="M44" s="25">
        <v>113726</v>
      </c>
      <c r="N44" s="25">
        <v>140963</v>
      </c>
    </row>
    <row r="45" spans="2:14" x14ac:dyDescent="0.25">
      <c r="B45" t="s">
        <v>42</v>
      </c>
      <c r="C45" s="25">
        <v>-1068</v>
      </c>
      <c r="D45" s="25">
        <v>7289</v>
      </c>
      <c r="E45" s="25">
        <v>-1913</v>
      </c>
      <c r="F45" s="25">
        <v>1097</v>
      </c>
      <c r="G45" s="25">
        <v>-6880</v>
      </c>
      <c r="H45" s="25">
        <v>-8511</v>
      </c>
      <c r="I45" s="25">
        <v>-21991</v>
      </c>
      <c r="J45" s="25">
        <v>-40136</v>
      </c>
      <c r="K45" s="25">
        <v>-13792</v>
      </c>
      <c r="L45">
        <v>959</v>
      </c>
      <c r="M45" s="25">
        <v>-14180</v>
      </c>
      <c r="N45" s="25">
        <v>13194</v>
      </c>
    </row>
    <row r="46" spans="2:14" x14ac:dyDescent="0.25">
      <c r="B46" t="s">
        <v>29</v>
      </c>
      <c r="C46" s="25">
        <v>-7724</v>
      </c>
      <c r="D46" s="25">
        <v>-7525</v>
      </c>
      <c r="E46" s="25">
        <v>-1396</v>
      </c>
      <c r="F46" s="25">
        <v>3472</v>
      </c>
      <c r="G46" s="25">
        <v>6758</v>
      </c>
      <c r="H46" s="25">
        <v>-6899</v>
      </c>
      <c r="I46" s="25">
        <v>-10474</v>
      </c>
      <c r="J46" s="25">
        <v>-6724</v>
      </c>
      <c r="K46" s="25">
        <v>-6342</v>
      </c>
      <c r="L46" s="25">
        <v>-7769</v>
      </c>
      <c r="M46" s="25">
        <v>-24983</v>
      </c>
      <c r="N46" s="25">
        <v>-32228</v>
      </c>
    </row>
    <row r="47" spans="2:14" x14ac:dyDescent="0.25">
      <c r="B47" t="s">
        <v>90</v>
      </c>
      <c r="C47" s="25">
        <v>2044</v>
      </c>
      <c r="D47" s="25">
        <v>7608</v>
      </c>
      <c r="E47" s="25">
        <v>14339</v>
      </c>
      <c r="F47" s="25">
        <v>-2754</v>
      </c>
      <c r="G47" s="25">
        <v>7951</v>
      </c>
      <c r="H47" s="25">
        <v>30873</v>
      </c>
      <c r="I47" s="25">
        <v>51003</v>
      </c>
      <c r="J47" s="25">
        <v>18078</v>
      </c>
      <c r="K47" s="25">
        <v>38050</v>
      </c>
      <c r="L47" s="25">
        <v>-43148</v>
      </c>
      <c r="M47" s="25">
        <v>39888</v>
      </c>
      <c r="N47">
        <v>-600</v>
      </c>
    </row>
    <row r="48" spans="2:14" x14ac:dyDescent="0.25">
      <c r="B48" t="s">
        <v>91</v>
      </c>
      <c r="C48" s="25">
        <v>-6748</v>
      </c>
      <c r="D48" s="25">
        <v>7372</v>
      </c>
      <c r="E48" s="25">
        <v>11030</v>
      </c>
      <c r="F48" s="25">
        <v>1815</v>
      </c>
      <c r="G48" s="25">
        <v>7829</v>
      </c>
      <c r="H48" s="25">
        <v>15463</v>
      </c>
      <c r="I48" s="25">
        <v>18538</v>
      </c>
      <c r="J48" s="25">
        <v>-28782</v>
      </c>
      <c r="K48" s="25">
        <v>17916</v>
      </c>
      <c r="L48" s="25">
        <v>-49958</v>
      </c>
      <c r="M48">
        <v>725</v>
      </c>
      <c r="N48" s="25">
        <v>-19634</v>
      </c>
    </row>
    <row r="49" spans="2:14" x14ac:dyDescent="0.25">
      <c r="B49" t="s">
        <v>92</v>
      </c>
      <c r="C49" s="25">
        <v>-4881</v>
      </c>
      <c r="D49" s="25">
        <v>-4824</v>
      </c>
      <c r="E49" s="25">
        <v>-6213</v>
      </c>
      <c r="F49" s="25">
        <v>-6435</v>
      </c>
      <c r="G49" s="25">
        <v>-8582</v>
      </c>
      <c r="H49" s="25">
        <v>-10083</v>
      </c>
      <c r="I49" s="25">
        <v>-9844</v>
      </c>
      <c r="J49" s="25">
        <v>-12191</v>
      </c>
      <c r="K49" s="25">
        <v>-8386</v>
      </c>
      <c r="L49" s="25">
        <v>-3213</v>
      </c>
      <c r="M49" s="25">
        <v>-3797</v>
      </c>
      <c r="N49" s="25">
        <v>-6297</v>
      </c>
    </row>
    <row r="50" spans="2:14" x14ac:dyDescent="0.25">
      <c r="B50" t="s">
        <v>93</v>
      </c>
      <c r="C50">
        <v>8</v>
      </c>
      <c r="D50">
        <v>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2:14" x14ac:dyDescent="0.25">
      <c r="B51" t="s">
        <v>94</v>
      </c>
      <c r="C51" s="25">
        <v>-6301</v>
      </c>
      <c r="D51" s="25">
        <v>-27601</v>
      </c>
      <c r="E51" s="25">
        <v>-73070</v>
      </c>
      <c r="F51" s="25">
        <v>-64706</v>
      </c>
      <c r="G51" s="25">
        <v>-36186</v>
      </c>
      <c r="H51" s="25">
        <v>-66201</v>
      </c>
      <c r="I51" s="25">
        <v>-68192</v>
      </c>
      <c r="J51" s="25">
        <v>-94507</v>
      </c>
      <c r="K51" s="25">
        <v>-72497</v>
      </c>
      <c r="L51" s="25">
        <v>-142385</v>
      </c>
      <c r="M51" s="25">
        <v>-109162</v>
      </c>
      <c r="N51" s="25">
        <v>-93001</v>
      </c>
    </row>
    <row r="52" spans="2:14" x14ac:dyDescent="0.25">
      <c r="B52" t="s">
        <v>95</v>
      </c>
      <c r="C52" s="25">
        <v>-16381</v>
      </c>
      <c r="D52" s="25">
        <v>-30726</v>
      </c>
      <c r="E52" s="25">
        <v>-60087</v>
      </c>
      <c r="F52" s="25">
        <v>-63364</v>
      </c>
      <c r="G52" s="25">
        <v>-46898</v>
      </c>
      <c r="H52" s="25">
        <v>-78109</v>
      </c>
      <c r="I52" s="25">
        <v>-73953</v>
      </c>
      <c r="J52" s="25">
        <v>-93626</v>
      </c>
      <c r="K52" s="25">
        <v>-76517</v>
      </c>
      <c r="L52" s="25">
        <v>-105837</v>
      </c>
      <c r="M52" s="25">
        <v>-100145</v>
      </c>
      <c r="N52" s="25">
        <v>-140988</v>
      </c>
    </row>
    <row r="53" spans="2:14" x14ac:dyDescent="0.25">
      <c r="B53" t="s">
        <v>96</v>
      </c>
      <c r="C53" s="25">
        <v>23317</v>
      </c>
      <c r="D53" s="25">
        <v>2138</v>
      </c>
      <c r="E53">
        <v>148</v>
      </c>
      <c r="F53">
        <v>402</v>
      </c>
      <c r="G53">
        <v>344</v>
      </c>
      <c r="H53" s="25">
        <v>1482</v>
      </c>
      <c r="I53">
        <v>999</v>
      </c>
      <c r="J53">
        <v>849</v>
      </c>
      <c r="K53">
        <v>964</v>
      </c>
      <c r="L53" s="25">
        <v>2319</v>
      </c>
      <c r="M53" s="25">
        <v>3137</v>
      </c>
      <c r="N53" s="25">
        <v>9186</v>
      </c>
    </row>
    <row r="54" spans="2:14" x14ac:dyDescent="0.25">
      <c r="B54" t="s">
        <v>97</v>
      </c>
      <c r="C54" s="25">
        <v>-332414</v>
      </c>
      <c r="D54" s="25">
        <v>-484826</v>
      </c>
      <c r="E54" s="25">
        <v>-765659</v>
      </c>
      <c r="F54" s="25">
        <v>-678241</v>
      </c>
      <c r="G54" s="25">
        <v>-715334</v>
      </c>
      <c r="H54" s="25">
        <v>-654760</v>
      </c>
      <c r="I54" s="25">
        <v>-533984</v>
      </c>
      <c r="J54" s="25">
        <v>-1105479</v>
      </c>
      <c r="K54" s="25">
        <v>-1156843</v>
      </c>
      <c r="L54" s="25">
        <v>-689866</v>
      </c>
      <c r="M54" s="25">
        <v>-667878</v>
      </c>
      <c r="N54" s="25">
        <v>-471822</v>
      </c>
    </row>
    <row r="55" spans="2:14" x14ac:dyDescent="0.25">
      <c r="B55" t="s">
        <v>98</v>
      </c>
      <c r="C55" s="25">
        <v>317422</v>
      </c>
      <c r="D55" s="25">
        <v>482102</v>
      </c>
      <c r="E55" s="25">
        <v>749849</v>
      </c>
      <c r="F55" s="25">
        <v>666383</v>
      </c>
      <c r="G55" s="25">
        <v>721182</v>
      </c>
      <c r="H55" s="25">
        <v>663990</v>
      </c>
      <c r="I55" s="25">
        <v>537504</v>
      </c>
      <c r="J55">
        <v>0</v>
      </c>
      <c r="K55">
        <v>0</v>
      </c>
      <c r="L55" s="25">
        <v>642551</v>
      </c>
      <c r="M55" s="25">
        <v>668137</v>
      </c>
      <c r="N55" s="25">
        <v>501266</v>
      </c>
    </row>
    <row r="56" spans="2:14" x14ac:dyDescent="0.25">
      <c r="B56" t="s">
        <v>99</v>
      </c>
      <c r="C56" s="25">
        <v>1052</v>
      </c>
      <c r="D56" s="25">
        <v>6144</v>
      </c>
      <c r="E56" s="25">
        <v>6413</v>
      </c>
      <c r="F56" s="25">
        <v>6055</v>
      </c>
      <c r="G56" s="25">
        <v>2942</v>
      </c>
      <c r="H56" s="25">
        <v>1110</v>
      </c>
      <c r="I56" s="25">
        <v>1310</v>
      </c>
      <c r="J56">
        <v>972</v>
      </c>
      <c r="K56" s="25">
        <v>1441</v>
      </c>
      <c r="L56" s="25">
        <v>8400</v>
      </c>
      <c r="M56" s="25">
        <v>5933</v>
      </c>
      <c r="N56" s="25">
        <v>11103</v>
      </c>
    </row>
    <row r="57" spans="2:14" x14ac:dyDescent="0.25">
      <c r="B57" t="s">
        <v>100</v>
      </c>
      <c r="C57">
        <v>27</v>
      </c>
      <c r="D57">
        <v>128</v>
      </c>
      <c r="E57">
        <v>316</v>
      </c>
      <c r="F57">
        <v>548</v>
      </c>
      <c r="G57">
        <v>732</v>
      </c>
      <c r="H57">
        <v>345</v>
      </c>
      <c r="I57" s="25">
        <v>1021</v>
      </c>
      <c r="J57">
        <v>501</v>
      </c>
      <c r="K57">
        <v>78</v>
      </c>
      <c r="L57">
        <v>26</v>
      </c>
      <c r="M57">
        <v>19</v>
      </c>
      <c r="N57">
        <v>20</v>
      </c>
    </row>
    <row r="58" spans="2:14" x14ac:dyDescent="0.25">
      <c r="B58" t="s">
        <v>101</v>
      </c>
      <c r="C58">
        <v>676</v>
      </c>
      <c r="D58" s="25">
        <v>-2561</v>
      </c>
      <c r="E58" s="25">
        <v>-4050</v>
      </c>
      <c r="F58" s="25">
        <v>3511</v>
      </c>
      <c r="G58">
        <v>846</v>
      </c>
      <c r="H58">
        <v>-259</v>
      </c>
      <c r="I58" s="25">
        <v>-1089</v>
      </c>
      <c r="J58" s="25">
        <v>1102276</v>
      </c>
      <c r="K58" s="25">
        <v>1158380</v>
      </c>
      <c r="L58">
        <v>22</v>
      </c>
      <c r="M58" s="25">
        <v>-18365</v>
      </c>
      <c r="N58" s="25">
        <v>-1766</v>
      </c>
    </row>
    <row r="59" spans="2:14" x14ac:dyDescent="0.25">
      <c r="B59" t="s">
        <v>102</v>
      </c>
      <c r="C59" s="25">
        <v>-7590</v>
      </c>
      <c r="D59">
        <v>408</v>
      </c>
      <c r="E59" s="25">
        <v>13713</v>
      </c>
      <c r="F59" s="25">
        <v>8444</v>
      </c>
      <c r="G59" s="25">
        <v>-3210</v>
      </c>
      <c r="H59" s="25">
        <v>8617</v>
      </c>
      <c r="I59" s="25">
        <v>-2001</v>
      </c>
      <c r="J59" s="25">
        <v>55906</v>
      </c>
      <c r="K59" s="25">
        <v>-2541</v>
      </c>
      <c r="L59" s="25">
        <v>101904</v>
      </c>
      <c r="M59" s="25">
        <v>17289</v>
      </c>
      <c r="N59" s="25">
        <v>10455</v>
      </c>
    </row>
    <row r="60" spans="2:14" x14ac:dyDescent="0.25">
      <c r="B60" t="s">
        <v>103</v>
      </c>
      <c r="C60">
        <v>94</v>
      </c>
      <c r="D60">
        <v>12</v>
      </c>
      <c r="E60">
        <v>188</v>
      </c>
      <c r="F60">
        <v>343</v>
      </c>
      <c r="G60">
        <v>288</v>
      </c>
      <c r="H60">
        <v>811</v>
      </c>
      <c r="I60">
        <v>406</v>
      </c>
      <c r="J60">
        <v>230</v>
      </c>
      <c r="K60">
        <v>129</v>
      </c>
      <c r="L60">
        <v>5</v>
      </c>
      <c r="M60">
        <v>455</v>
      </c>
      <c r="N60">
        <v>479</v>
      </c>
    </row>
    <row r="61" spans="2:14" x14ac:dyDescent="0.25">
      <c r="B61" t="s">
        <v>104</v>
      </c>
      <c r="C61" s="25">
        <v>8497</v>
      </c>
      <c r="D61" s="25">
        <v>21186</v>
      </c>
      <c r="E61" s="25">
        <v>42152</v>
      </c>
      <c r="F61" s="25">
        <v>29413</v>
      </c>
      <c r="G61" s="25">
        <v>34673</v>
      </c>
      <c r="H61" s="25">
        <v>31728</v>
      </c>
      <c r="I61" s="25">
        <v>36970</v>
      </c>
      <c r="J61" s="25">
        <v>106701</v>
      </c>
      <c r="K61" s="25">
        <v>53760</v>
      </c>
      <c r="L61" s="25">
        <v>46421</v>
      </c>
      <c r="M61" s="25">
        <v>59343</v>
      </c>
      <c r="N61" s="25">
        <v>67134</v>
      </c>
    </row>
    <row r="62" spans="2:14" x14ac:dyDescent="0.25">
      <c r="B62" t="s">
        <v>105</v>
      </c>
      <c r="C62" s="25">
        <v>-9545</v>
      </c>
      <c r="D62" s="25">
        <v>-10532</v>
      </c>
      <c r="E62" s="25">
        <v>-19835</v>
      </c>
      <c r="F62" s="25">
        <v>-11909</v>
      </c>
      <c r="G62" s="25">
        <v>-21693</v>
      </c>
      <c r="H62" s="25">
        <v>-18542</v>
      </c>
      <c r="I62" s="25">
        <v>-19813</v>
      </c>
      <c r="J62" s="25">
        <v>-20245</v>
      </c>
      <c r="K62" s="25">
        <v>-18179</v>
      </c>
      <c r="L62" s="25">
        <v>-116921</v>
      </c>
      <c r="M62" s="25">
        <v>-49493</v>
      </c>
      <c r="N62" s="25">
        <v>-29059</v>
      </c>
    </row>
    <row r="63" spans="2:14" x14ac:dyDescent="0.25">
      <c r="B63" t="s">
        <v>106</v>
      </c>
      <c r="C63" s="25">
        <v>-3585</v>
      </c>
      <c r="D63" s="25">
        <v>-4626</v>
      </c>
      <c r="E63" s="25">
        <v>-5619</v>
      </c>
      <c r="F63" s="25">
        <v>-6149</v>
      </c>
      <c r="G63" s="25">
        <v>-9224</v>
      </c>
      <c r="H63" s="25">
        <v>-12920</v>
      </c>
      <c r="I63" s="25">
        <v>-17669</v>
      </c>
      <c r="J63" s="25">
        <v>-23338</v>
      </c>
      <c r="K63" s="25">
        <v>-28508</v>
      </c>
      <c r="L63" s="25">
        <v>-18340</v>
      </c>
      <c r="M63" s="25">
        <v>-26349</v>
      </c>
      <c r="N63" s="25">
        <v>-21650</v>
      </c>
    </row>
    <row r="64" spans="2:14" x14ac:dyDescent="0.25">
      <c r="B64" t="s">
        <v>107</v>
      </c>
      <c r="C64" s="25">
        <v>-2772</v>
      </c>
      <c r="D64" s="25">
        <v>-2949</v>
      </c>
      <c r="E64" s="25">
        <v>-3123</v>
      </c>
      <c r="F64" s="25">
        <v>-3268</v>
      </c>
      <c r="G64" s="25">
        <v>-7259</v>
      </c>
      <c r="H64">
        <v>-53</v>
      </c>
      <c r="I64" s="25">
        <v>-3916</v>
      </c>
      <c r="J64" s="25">
        <v>-4282</v>
      </c>
      <c r="K64" s="25">
        <v>-4592</v>
      </c>
      <c r="L64" s="25">
        <v>-3921</v>
      </c>
      <c r="M64" s="25">
        <v>-4297</v>
      </c>
      <c r="N64" s="25">
        <v>-5083</v>
      </c>
    </row>
    <row r="65" spans="2:14" x14ac:dyDescent="0.25">
      <c r="B65" t="s">
        <v>108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25">
        <v>-1062</v>
      </c>
      <c r="L65" s="25">
        <v>-1022</v>
      </c>
      <c r="M65" s="25">
        <v>-2132</v>
      </c>
      <c r="N65" s="25">
        <v>-1406</v>
      </c>
    </row>
    <row r="66" spans="2:14" x14ac:dyDescent="0.25">
      <c r="B66" t="s">
        <v>109</v>
      </c>
      <c r="C66">
        <v>0</v>
      </c>
      <c r="D66">
        <v>25</v>
      </c>
      <c r="E66">
        <v>17</v>
      </c>
      <c r="F66">
        <v>17</v>
      </c>
      <c r="G66">
        <v>8</v>
      </c>
      <c r="H66">
        <v>4</v>
      </c>
      <c r="I66">
        <v>15</v>
      </c>
      <c r="J66">
        <v>2</v>
      </c>
      <c r="K66">
        <v>1</v>
      </c>
      <c r="L66">
        <v>0</v>
      </c>
      <c r="M66">
        <v>0</v>
      </c>
      <c r="N66">
        <v>0</v>
      </c>
    </row>
    <row r="67" spans="2:14" x14ac:dyDescent="0.25">
      <c r="B67" t="s">
        <v>110</v>
      </c>
      <c r="C67">
        <v>-279</v>
      </c>
      <c r="D67" s="25">
        <v>-2708</v>
      </c>
      <c r="E67">
        <v>-67</v>
      </c>
      <c r="F67">
        <v>-3</v>
      </c>
      <c r="G67">
        <v>-3</v>
      </c>
      <c r="H67" s="25">
        <v>7589</v>
      </c>
      <c r="I67" s="25">
        <v>2006</v>
      </c>
      <c r="J67" s="25">
        <v>-3162</v>
      </c>
      <c r="K67" s="25">
        <v>-4090</v>
      </c>
      <c r="L67" s="25">
        <v>195682</v>
      </c>
      <c r="M67" s="25">
        <v>39762</v>
      </c>
      <c r="N67">
        <v>40</v>
      </c>
    </row>
    <row r="68" spans="2:14" x14ac:dyDescent="0.25">
      <c r="B68" t="s">
        <v>20</v>
      </c>
      <c r="C68" s="25">
        <v>10592</v>
      </c>
      <c r="D68" s="25">
        <v>9725</v>
      </c>
      <c r="E68" s="25">
        <v>-16096</v>
      </c>
      <c r="F68" s="25">
        <v>-21888</v>
      </c>
      <c r="G68" s="25">
        <v>-1262</v>
      </c>
      <c r="H68" s="25">
        <v>-8034</v>
      </c>
      <c r="I68" s="25">
        <v>1266</v>
      </c>
      <c r="J68" s="25">
        <v>3745</v>
      </c>
      <c r="K68" s="25">
        <v>19839</v>
      </c>
      <c r="L68" s="25">
        <v>-13523</v>
      </c>
      <c r="M68" s="25">
        <v>18781</v>
      </c>
      <c r="N68" s="25">
        <v>32486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DB20-6F91-438D-9811-9D99F96CA740}">
  <dimension ref="B2:P28"/>
  <sheetViews>
    <sheetView showGridLines="0" workbookViewId="0">
      <selection activeCell="C3" sqref="B2:N28"/>
    </sheetView>
  </sheetViews>
  <sheetFormatPr defaultRowHeight="15" x14ac:dyDescent="0.25"/>
  <cols>
    <col min="2" max="2" width="28" bestFit="1" customWidth="1"/>
    <col min="3" max="9" width="8.85546875" bestFit="1" customWidth="1"/>
    <col min="10" max="11" width="9.85546875" bestFit="1" customWidth="1"/>
    <col min="12" max="14" width="8.85546875" bestFit="1" customWidth="1"/>
  </cols>
  <sheetData>
    <row r="2" spans="2:16" x14ac:dyDescent="0.25">
      <c r="C2" s="24">
        <v>40969</v>
      </c>
      <c r="D2" s="24">
        <v>41334</v>
      </c>
      <c r="E2" s="24">
        <v>41699</v>
      </c>
      <c r="F2" s="24">
        <v>42064</v>
      </c>
      <c r="G2" s="24">
        <v>42430</v>
      </c>
      <c r="H2" s="24">
        <v>42795</v>
      </c>
      <c r="I2" s="24">
        <v>43160</v>
      </c>
      <c r="J2" s="24">
        <v>43525</v>
      </c>
      <c r="K2" s="24">
        <v>43891</v>
      </c>
      <c r="L2" s="24">
        <v>44256</v>
      </c>
      <c r="M2" s="24">
        <v>44621</v>
      </c>
      <c r="N2" s="24">
        <v>44986</v>
      </c>
    </row>
    <row r="3" spans="2:16" x14ac:dyDescent="0.25">
      <c r="B3" t="s">
        <v>88</v>
      </c>
      <c r="C3" s="25">
        <v>24483</v>
      </c>
      <c r="D3" s="25">
        <v>36918</v>
      </c>
      <c r="E3" s="25">
        <v>43261</v>
      </c>
      <c r="F3" s="25">
        <v>34374</v>
      </c>
      <c r="G3" s="25">
        <v>38134</v>
      </c>
      <c r="H3" s="25">
        <v>49550</v>
      </c>
      <c r="I3" s="25">
        <v>71459</v>
      </c>
      <c r="J3" s="25">
        <v>42346</v>
      </c>
      <c r="K3" s="25">
        <v>94877</v>
      </c>
      <c r="L3" s="25">
        <v>26958</v>
      </c>
      <c r="M3" s="25">
        <v>110654</v>
      </c>
      <c r="N3" s="25">
        <v>115032</v>
      </c>
    </row>
    <row r="4" spans="2:16" x14ac:dyDescent="0.25">
      <c r="B4" t="s">
        <v>89</v>
      </c>
      <c r="C4" s="25">
        <v>36104</v>
      </c>
      <c r="D4" s="25">
        <v>34373</v>
      </c>
      <c r="E4" s="25">
        <v>38444</v>
      </c>
      <c r="F4" s="25">
        <v>38994</v>
      </c>
      <c r="G4" s="25">
        <v>38887</v>
      </c>
      <c r="H4" s="25">
        <v>44170</v>
      </c>
      <c r="I4" s="25">
        <v>62765</v>
      </c>
      <c r="J4" s="25">
        <v>83319</v>
      </c>
      <c r="K4" s="25">
        <v>85347</v>
      </c>
      <c r="L4" s="25">
        <v>80129</v>
      </c>
      <c r="M4" s="25">
        <v>113726</v>
      </c>
      <c r="N4" s="25">
        <v>140963</v>
      </c>
    </row>
    <row r="5" spans="2:16" x14ac:dyDescent="0.25">
      <c r="B5" t="s">
        <v>42</v>
      </c>
      <c r="C5" s="25">
        <v>-1068</v>
      </c>
      <c r="D5" s="25">
        <v>7289</v>
      </c>
      <c r="E5" s="25">
        <v>-1913</v>
      </c>
      <c r="F5" s="25">
        <v>1097</v>
      </c>
      <c r="G5" s="25">
        <v>-6880</v>
      </c>
      <c r="H5" s="25">
        <v>-8511</v>
      </c>
      <c r="I5" s="25">
        <v>-21991</v>
      </c>
      <c r="J5" s="25">
        <v>-40136</v>
      </c>
      <c r="K5" s="25">
        <v>-13792</v>
      </c>
      <c r="L5">
        <v>959</v>
      </c>
      <c r="M5" s="25">
        <v>-14180</v>
      </c>
      <c r="N5" s="25">
        <v>13194</v>
      </c>
      <c r="P5" s="25"/>
    </row>
    <row r="6" spans="2:16" x14ac:dyDescent="0.25">
      <c r="B6" t="s">
        <v>29</v>
      </c>
      <c r="C6" s="25">
        <v>-7724</v>
      </c>
      <c r="D6" s="25">
        <v>-7525</v>
      </c>
      <c r="E6" s="25">
        <v>-1396</v>
      </c>
      <c r="F6" s="25">
        <v>3472</v>
      </c>
      <c r="G6" s="25">
        <v>6758</v>
      </c>
      <c r="H6" s="25">
        <v>-6899</v>
      </c>
      <c r="I6" s="25">
        <v>-10474</v>
      </c>
      <c r="J6" s="25">
        <v>-6724</v>
      </c>
      <c r="K6" s="25">
        <v>-6342</v>
      </c>
      <c r="L6" s="25">
        <v>-7769</v>
      </c>
      <c r="M6" s="25">
        <v>-24983</v>
      </c>
      <c r="N6" s="25">
        <v>-32228</v>
      </c>
    </row>
    <row r="7" spans="2:16" x14ac:dyDescent="0.25">
      <c r="B7" t="s">
        <v>90</v>
      </c>
      <c r="C7" s="25">
        <v>2044</v>
      </c>
      <c r="D7" s="25">
        <v>7608</v>
      </c>
      <c r="E7" s="25">
        <v>14339</v>
      </c>
      <c r="F7" s="25">
        <v>-2754</v>
      </c>
      <c r="G7" s="25">
        <v>7951</v>
      </c>
      <c r="H7" s="25">
        <v>30873</v>
      </c>
      <c r="I7" s="25">
        <v>51003</v>
      </c>
      <c r="J7" s="25">
        <v>18078</v>
      </c>
      <c r="K7" s="25">
        <v>38050</v>
      </c>
      <c r="L7" s="25">
        <v>-43148</v>
      </c>
      <c r="M7" s="25">
        <v>39888</v>
      </c>
      <c r="N7">
        <v>-600</v>
      </c>
    </row>
    <row r="8" spans="2:16" x14ac:dyDescent="0.25">
      <c r="B8" t="s">
        <v>91</v>
      </c>
      <c r="C8" s="25">
        <v>-6748</v>
      </c>
      <c r="D8" s="25">
        <v>7372</v>
      </c>
      <c r="E8" s="25">
        <v>11030</v>
      </c>
      <c r="F8" s="25">
        <v>1815</v>
      </c>
      <c r="G8" s="25">
        <v>7829</v>
      </c>
      <c r="H8" s="25">
        <v>15463</v>
      </c>
      <c r="I8" s="25">
        <v>18538</v>
      </c>
      <c r="J8" s="25">
        <v>-28782</v>
      </c>
      <c r="K8" s="25">
        <v>17916</v>
      </c>
      <c r="L8" s="25">
        <v>-49958</v>
      </c>
      <c r="M8">
        <v>725</v>
      </c>
      <c r="N8" s="25">
        <v>-19634</v>
      </c>
    </row>
    <row r="9" spans="2:16" x14ac:dyDescent="0.25">
      <c r="B9" t="s">
        <v>92</v>
      </c>
      <c r="C9" s="25">
        <v>-4881</v>
      </c>
      <c r="D9" s="25">
        <v>-4824</v>
      </c>
      <c r="E9" s="25">
        <v>-6213</v>
      </c>
      <c r="F9" s="25">
        <v>-6435</v>
      </c>
      <c r="G9" s="25">
        <v>-8582</v>
      </c>
      <c r="H9" s="25">
        <v>-10083</v>
      </c>
      <c r="I9" s="25">
        <v>-9844</v>
      </c>
      <c r="J9" s="25">
        <v>-12191</v>
      </c>
      <c r="K9" s="25">
        <v>-8386</v>
      </c>
      <c r="L9" s="25">
        <v>-3213</v>
      </c>
      <c r="M9" s="25">
        <v>-3797</v>
      </c>
      <c r="N9" s="25">
        <v>-6297</v>
      </c>
    </row>
    <row r="10" spans="2:16" x14ac:dyDescent="0.25">
      <c r="B10" t="s">
        <v>93</v>
      </c>
      <c r="C10">
        <v>8</v>
      </c>
      <c r="D10">
        <v>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2:16" x14ac:dyDescent="0.25">
      <c r="B11" t="s">
        <v>94</v>
      </c>
      <c r="C11" s="25">
        <v>-6301</v>
      </c>
      <c r="D11" s="25">
        <v>-27601</v>
      </c>
      <c r="E11" s="25">
        <v>-73070</v>
      </c>
      <c r="F11" s="25">
        <v>-64706</v>
      </c>
      <c r="G11" s="25">
        <v>-36186</v>
      </c>
      <c r="H11" s="25">
        <v>-66201</v>
      </c>
      <c r="I11" s="25">
        <v>-68192</v>
      </c>
      <c r="J11" s="25">
        <v>-94507</v>
      </c>
      <c r="K11" s="25">
        <v>-72497</v>
      </c>
      <c r="L11" s="25">
        <v>-142385</v>
      </c>
      <c r="M11" s="25">
        <v>-109162</v>
      </c>
      <c r="N11" s="25">
        <v>-93001</v>
      </c>
    </row>
    <row r="12" spans="2:16" x14ac:dyDescent="0.25">
      <c r="B12" t="s">
        <v>95</v>
      </c>
      <c r="C12" s="25">
        <v>-16381</v>
      </c>
      <c r="D12" s="25">
        <v>-30726</v>
      </c>
      <c r="E12" s="25">
        <v>-60087</v>
      </c>
      <c r="F12" s="25">
        <v>-63364</v>
      </c>
      <c r="G12" s="25">
        <v>-46898</v>
      </c>
      <c r="H12" s="25">
        <v>-78109</v>
      </c>
      <c r="I12" s="25">
        <v>-73953</v>
      </c>
      <c r="J12" s="25">
        <v>-93626</v>
      </c>
      <c r="K12" s="25">
        <v>-76517</v>
      </c>
      <c r="L12" s="25">
        <v>-105837</v>
      </c>
      <c r="M12" s="25">
        <v>-100145</v>
      </c>
      <c r="N12" s="25">
        <v>-140988</v>
      </c>
    </row>
    <row r="13" spans="2:16" x14ac:dyDescent="0.25">
      <c r="B13" t="s">
        <v>96</v>
      </c>
      <c r="C13" s="25">
        <v>23317</v>
      </c>
      <c r="D13" s="25">
        <v>2138</v>
      </c>
      <c r="E13">
        <v>148</v>
      </c>
      <c r="F13">
        <v>402</v>
      </c>
      <c r="G13">
        <v>344</v>
      </c>
      <c r="H13" s="25">
        <v>1482</v>
      </c>
      <c r="I13">
        <v>999</v>
      </c>
      <c r="J13">
        <v>849</v>
      </c>
      <c r="K13">
        <v>964</v>
      </c>
      <c r="L13" s="25">
        <v>2319</v>
      </c>
      <c r="M13" s="25">
        <v>3137</v>
      </c>
      <c r="N13" s="25">
        <v>9186</v>
      </c>
    </row>
    <row r="14" spans="2:16" x14ac:dyDescent="0.25">
      <c r="B14" t="s">
        <v>97</v>
      </c>
      <c r="C14" s="25">
        <v>-332414</v>
      </c>
      <c r="D14" s="25">
        <v>-484826</v>
      </c>
      <c r="E14" s="25">
        <v>-765659</v>
      </c>
      <c r="F14" s="25">
        <v>-678241</v>
      </c>
      <c r="G14" s="25">
        <v>-715334</v>
      </c>
      <c r="H14" s="25">
        <v>-654760</v>
      </c>
      <c r="I14" s="25">
        <v>-533984</v>
      </c>
      <c r="J14" s="25">
        <v>-1105479</v>
      </c>
      <c r="K14" s="25">
        <v>-1156843</v>
      </c>
      <c r="L14" s="25">
        <v>-689866</v>
      </c>
      <c r="M14" s="25">
        <v>-667878</v>
      </c>
      <c r="N14" s="25">
        <v>-471822</v>
      </c>
    </row>
    <row r="15" spans="2:16" x14ac:dyDescent="0.25">
      <c r="B15" t="s">
        <v>98</v>
      </c>
      <c r="C15" s="25">
        <v>317422</v>
      </c>
      <c r="D15" s="25">
        <v>482102</v>
      </c>
      <c r="E15" s="25">
        <v>749849</v>
      </c>
      <c r="F15" s="25">
        <v>666383</v>
      </c>
      <c r="G15" s="25">
        <v>721182</v>
      </c>
      <c r="H15" s="25">
        <v>663990</v>
      </c>
      <c r="I15" s="25">
        <v>537504</v>
      </c>
      <c r="J15">
        <v>0</v>
      </c>
      <c r="K15">
        <v>0</v>
      </c>
      <c r="L15" s="25">
        <v>642551</v>
      </c>
      <c r="M15" s="25">
        <v>668137</v>
      </c>
      <c r="N15" s="25">
        <v>501266</v>
      </c>
    </row>
    <row r="16" spans="2:16" x14ac:dyDescent="0.25">
      <c r="B16" t="s">
        <v>99</v>
      </c>
      <c r="C16" s="25">
        <v>1052</v>
      </c>
      <c r="D16" s="25">
        <v>6144</v>
      </c>
      <c r="E16" s="25">
        <v>6413</v>
      </c>
      <c r="F16" s="25">
        <v>6055</v>
      </c>
      <c r="G16" s="25">
        <v>2942</v>
      </c>
      <c r="H16" s="25">
        <v>1110</v>
      </c>
      <c r="I16" s="25">
        <v>1310</v>
      </c>
      <c r="J16">
        <v>972</v>
      </c>
      <c r="K16" s="25">
        <v>1441</v>
      </c>
      <c r="L16" s="25">
        <v>8400</v>
      </c>
      <c r="M16" s="25">
        <v>5933</v>
      </c>
      <c r="N16" s="25">
        <v>11103</v>
      </c>
    </row>
    <row r="17" spans="2:14" x14ac:dyDescent="0.25">
      <c r="B17" t="s">
        <v>100</v>
      </c>
      <c r="C17">
        <v>27</v>
      </c>
      <c r="D17">
        <v>128</v>
      </c>
      <c r="E17">
        <v>316</v>
      </c>
      <c r="F17">
        <v>548</v>
      </c>
      <c r="G17">
        <v>732</v>
      </c>
      <c r="H17">
        <v>345</v>
      </c>
      <c r="I17" s="25">
        <v>1021</v>
      </c>
      <c r="J17">
        <v>501</v>
      </c>
      <c r="K17">
        <v>78</v>
      </c>
      <c r="L17">
        <v>26</v>
      </c>
      <c r="M17">
        <v>19</v>
      </c>
      <c r="N17">
        <v>20</v>
      </c>
    </row>
    <row r="18" spans="2:14" x14ac:dyDescent="0.25">
      <c r="B18" t="s">
        <v>101</v>
      </c>
      <c r="C18">
        <v>676</v>
      </c>
      <c r="D18" s="25">
        <v>-2561</v>
      </c>
      <c r="E18" s="25">
        <v>-4050</v>
      </c>
      <c r="F18" s="25">
        <v>3511</v>
      </c>
      <c r="G18">
        <v>846</v>
      </c>
      <c r="H18">
        <v>-259</v>
      </c>
      <c r="I18" s="25">
        <v>-1089</v>
      </c>
      <c r="J18" s="25">
        <v>1102276</v>
      </c>
      <c r="K18" s="25">
        <v>1158380</v>
      </c>
      <c r="L18">
        <v>22</v>
      </c>
      <c r="M18" s="25">
        <v>-18365</v>
      </c>
      <c r="N18" s="25">
        <v>-1766</v>
      </c>
    </row>
    <row r="19" spans="2:14" x14ac:dyDescent="0.25">
      <c r="B19" t="s">
        <v>102</v>
      </c>
      <c r="C19" s="25">
        <v>-7590</v>
      </c>
      <c r="D19">
        <v>408</v>
      </c>
      <c r="E19" s="25">
        <v>13713</v>
      </c>
      <c r="F19" s="25">
        <v>8444</v>
      </c>
      <c r="G19" s="25">
        <v>-3210</v>
      </c>
      <c r="H19" s="25">
        <v>8617</v>
      </c>
      <c r="I19" s="25">
        <v>-2001</v>
      </c>
      <c r="J19" s="25">
        <v>55906</v>
      </c>
      <c r="K19" s="25">
        <v>-2541</v>
      </c>
      <c r="L19" s="25">
        <v>101904</v>
      </c>
      <c r="M19" s="25">
        <v>17289</v>
      </c>
      <c r="N19" s="25">
        <v>10455</v>
      </c>
    </row>
    <row r="20" spans="2:14" x14ac:dyDescent="0.25">
      <c r="B20" t="s">
        <v>103</v>
      </c>
      <c r="C20">
        <v>94</v>
      </c>
      <c r="D20">
        <v>12</v>
      </c>
      <c r="E20">
        <v>188</v>
      </c>
      <c r="F20">
        <v>343</v>
      </c>
      <c r="G20">
        <v>288</v>
      </c>
      <c r="H20">
        <v>811</v>
      </c>
      <c r="I20">
        <v>406</v>
      </c>
      <c r="J20">
        <v>230</v>
      </c>
      <c r="K20">
        <v>129</v>
      </c>
      <c r="L20">
        <v>5</v>
      </c>
      <c r="M20">
        <v>455</v>
      </c>
      <c r="N20">
        <v>479</v>
      </c>
    </row>
    <row r="21" spans="2:14" x14ac:dyDescent="0.25">
      <c r="B21" t="s">
        <v>104</v>
      </c>
      <c r="C21" s="25">
        <v>8497</v>
      </c>
      <c r="D21" s="25">
        <v>21186</v>
      </c>
      <c r="E21" s="25">
        <v>42152</v>
      </c>
      <c r="F21" s="25">
        <v>29413</v>
      </c>
      <c r="G21" s="25">
        <v>34673</v>
      </c>
      <c r="H21" s="25">
        <v>31728</v>
      </c>
      <c r="I21" s="25">
        <v>36970</v>
      </c>
      <c r="J21" s="25">
        <v>106701</v>
      </c>
      <c r="K21" s="25">
        <v>53760</v>
      </c>
      <c r="L21" s="25">
        <v>46421</v>
      </c>
      <c r="M21" s="25">
        <v>59343</v>
      </c>
      <c r="N21" s="25">
        <v>67134</v>
      </c>
    </row>
    <row r="22" spans="2:14" x14ac:dyDescent="0.25">
      <c r="B22" t="s">
        <v>105</v>
      </c>
      <c r="C22" s="25">
        <v>-9545</v>
      </c>
      <c r="D22" s="25">
        <v>-10532</v>
      </c>
      <c r="E22" s="25">
        <v>-19835</v>
      </c>
      <c r="F22" s="25">
        <v>-11909</v>
      </c>
      <c r="G22" s="25">
        <v>-21693</v>
      </c>
      <c r="H22" s="25">
        <v>-18542</v>
      </c>
      <c r="I22" s="25">
        <v>-19813</v>
      </c>
      <c r="J22" s="25">
        <v>-20245</v>
      </c>
      <c r="K22" s="25">
        <v>-18179</v>
      </c>
      <c r="L22" s="25">
        <v>-116921</v>
      </c>
      <c r="M22" s="25">
        <v>-49493</v>
      </c>
      <c r="N22" s="25">
        <v>-29059</v>
      </c>
    </row>
    <row r="23" spans="2:14" x14ac:dyDescent="0.25">
      <c r="B23" t="s">
        <v>106</v>
      </c>
      <c r="C23" s="25">
        <v>-3585</v>
      </c>
      <c r="D23" s="25">
        <v>-4626</v>
      </c>
      <c r="E23" s="25">
        <v>-5619</v>
      </c>
      <c r="F23" s="25">
        <v>-6149</v>
      </c>
      <c r="G23" s="25">
        <v>-9224</v>
      </c>
      <c r="H23" s="25">
        <v>-12920</v>
      </c>
      <c r="I23" s="25">
        <v>-17669</v>
      </c>
      <c r="J23" s="25">
        <v>-23338</v>
      </c>
      <c r="K23" s="25">
        <v>-28508</v>
      </c>
      <c r="L23" s="25">
        <v>-18340</v>
      </c>
      <c r="M23" s="25">
        <v>-26349</v>
      </c>
      <c r="N23" s="25">
        <v>-21650</v>
      </c>
    </row>
    <row r="24" spans="2:14" x14ac:dyDescent="0.25">
      <c r="B24" t="s">
        <v>107</v>
      </c>
      <c r="C24" s="25">
        <v>-2772</v>
      </c>
      <c r="D24" s="25">
        <v>-2949</v>
      </c>
      <c r="E24" s="25">
        <v>-3123</v>
      </c>
      <c r="F24" s="25">
        <v>-3268</v>
      </c>
      <c r="G24" s="25">
        <v>-7259</v>
      </c>
      <c r="H24">
        <v>-53</v>
      </c>
      <c r="I24" s="25">
        <v>-3916</v>
      </c>
      <c r="J24" s="25">
        <v>-4282</v>
      </c>
      <c r="K24" s="25">
        <v>-4592</v>
      </c>
      <c r="L24" s="25">
        <v>-3921</v>
      </c>
      <c r="M24" s="25">
        <v>-4297</v>
      </c>
      <c r="N24" s="25">
        <v>-5083</v>
      </c>
    </row>
    <row r="25" spans="2:14" x14ac:dyDescent="0.25">
      <c r="B25" t="s">
        <v>108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25">
        <v>-1062</v>
      </c>
      <c r="L25" s="25">
        <v>-1022</v>
      </c>
      <c r="M25" s="25">
        <v>-2132</v>
      </c>
      <c r="N25" s="25">
        <v>-1406</v>
      </c>
    </row>
    <row r="26" spans="2:14" x14ac:dyDescent="0.25">
      <c r="B26" t="s">
        <v>109</v>
      </c>
      <c r="C26">
        <v>0</v>
      </c>
      <c r="D26">
        <v>25</v>
      </c>
      <c r="E26">
        <v>17</v>
      </c>
      <c r="F26">
        <v>17</v>
      </c>
      <c r="G26">
        <v>8</v>
      </c>
      <c r="H26">
        <v>4</v>
      </c>
      <c r="I26">
        <v>15</v>
      </c>
      <c r="J26">
        <v>2</v>
      </c>
      <c r="K26">
        <v>1</v>
      </c>
      <c r="L26">
        <v>0</v>
      </c>
      <c r="M26">
        <v>0</v>
      </c>
      <c r="N26">
        <v>0</v>
      </c>
    </row>
    <row r="27" spans="2:14" x14ac:dyDescent="0.25">
      <c r="B27" t="s">
        <v>110</v>
      </c>
      <c r="C27">
        <v>-279</v>
      </c>
      <c r="D27" s="25">
        <v>-2708</v>
      </c>
      <c r="E27">
        <v>-67</v>
      </c>
      <c r="F27">
        <v>-3</v>
      </c>
      <c r="G27">
        <v>-3</v>
      </c>
      <c r="H27" s="25">
        <v>7589</v>
      </c>
      <c r="I27" s="25">
        <v>2006</v>
      </c>
      <c r="J27" s="25">
        <v>-3162</v>
      </c>
      <c r="K27" s="25">
        <v>-4090</v>
      </c>
      <c r="L27" s="25">
        <v>195682</v>
      </c>
      <c r="M27" s="25">
        <v>39762</v>
      </c>
      <c r="N27">
        <v>40</v>
      </c>
    </row>
    <row r="28" spans="2:14" x14ac:dyDescent="0.25">
      <c r="B28" t="s">
        <v>20</v>
      </c>
      <c r="C28" s="25">
        <v>10592</v>
      </c>
      <c r="D28" s="25">
        <v>9725</v>
      </c>
      <c r="E28" s="25">
        <v>-16096</v>
      </c>
      <c r="F28" s="25">
        <v>-21888</v>
      </c>
      <c r="G28" s="25">
        <v>-1262</v>
      </c>
      <c r="H28" s="25">
        <v>-8034</v>
      </c>
      <c r="I28" s="25">
        <v>1266</v>
      </c>
      <c r="J28" s="25">
        <v>3745</v>
      </c>
      <c r="K28" s="25">
        <v>19839</v>
      </c>
      <c r="L28" s="25">
        <v>-13523</v>
      </c>
      <c r="M28" s="25">
        <v>18781</v>
      </c>
      <c r="N28" s="25">
        <v>32486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DCF &gt;</vt:lpstr>
      <vt:lpstr>WACC</vt:lpstr>
      <vt:lpstr>Financial_Statements&gt;</vt:lpstr>
      <vt:lpstr>BETA - Regression</vt:lpstr>
      <vt:lpstr>RM</vt:lpstr>
      <vt:lpstr>Intrinsic Growth</vt:lpstr>
      <vt:lpstr>DCF</vt:lpstr>
      <vt:lpstr>Historical_FS</vt:lpstr>
      <vt:lpstr>Ratio Analysis</vt:lpstr>
      <vt:lpstr>Forecasting</vt:lpstr>
      <vt:lpstr>DATA ROOM&gt;</vt:lpstr>
      <vt:lpstr>Data Sheet</vt:lpstr>
      <vt:lpstr>RAW FS</vt:lpstr>
      <vt:lpstr>Cash Flow 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Ashish Moharana</cp:lastModifiedBy>
  <cp:lastPrinted>2012-12-06T18:14:13Z</cp:lastPrinted>
  <dcterms:created xsi:type="dcterms:W3CDTF">2012-08-17T09:55:37Z</dcterms:created>
  <dcterms:modified xsi:type="dcterms:W3CDTF">2023-09-19T11:22:14Z</dcterms:modified>
</cp:coreProperties>
</file>