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1" l="1"/>
  <c r="BG2" i="1" l="1"/>
  <c r="E40" i="1"/>
  <c r="E39" i="1"/>
  <c r="E38" i="1"/>
  <c r="E36" i="1"/>
  <c r="E35" i="1"/>
  <c r="E34" i="1"/>
  <c r="B34" i="1"/>
  <c r="E33" i="1"/>
  <c r="E14" i="1"/>
  <c r="R28" i="1"/>
  <c r="B28" i="1"/>
  <c r="B30" i="1"/>
  <c r="R23" i="1"/>
  <c r="H17" i="1"/>
  <c r="R22" i="1"/>
  <c r="T22" i="1"/>
  <c r="E21" i="1"/>
  <c r="H18" i="1"/>
  <c r="B18" i="1"/>
  <c r="N17" i="1"/>
  <c r="K17" i="1"/>
  <c r="E17" i="1"/>
  <c r="R19" i="1"/>
  <c r="T19" i="1"/>
  <c r="B17" i="1"/>
  <c r="R16" i="1"/>
  <c r="T16" i="1"/>
  <c r="N16" i="1"/>
  <c r="R15" i="1"/>
  <c r="T15" i="1"/>
  <c r="K16" i="1"/>
  <c r="H16" i="1"/>
  <c r="E16" i="1"/>
  <c r="R18" i="1"/>
  <c r="T18" i="1"/>
  <c r="B16" i="1"/>
  <c r="R14" i="1"/>
  <c r="T14" i="1"/>
  <c r="N15" i="1"/>
  <c r="R24" i="1"/>
  <c r="T24" i="1"/>
  <c r="K15" i="1"/>
  <c r="H15" i="1"/>
  <c r="B15" i="1"/>
  <c r="E19" i="1"/>
  <c r="R21" i="1"/>
  <c r="T21" i="1"/>
  <c r="R13" i="1"/>
  <c r="T13" i="1"/>
  <c r="B9" i="1"/>
  <c r="B8" i="1"/>
  <c r="AU7" i="1"/>
  <c r="AF7" i="1"/>
  <c r="AC7" i="1"/>
  <c r="B7" i="1"/>
  <c r="BJ5" i="1"/>
  <c r="BJ6" i="1"/>
  <c r="BG6" i="1"/>
  <c r="BD6" i="1"/>
  <c r="AR6" i="1"/>
  <c r="AL6" i="1"/>
  <c r="AF6" i="1"/>
  <c r="AC6" i="1"/>
  <c r="E6" i="1"/>
  <c r="B6" i="1"/>
  <c r="BG5" i="1"/>
  <c r="BD5" i="1"/>
  <c r="AR3" i="1"/>
  <c r="AR5" i="1"/>
  <c r="AF5" i="1"/>
  <c r="AC5" i="1"/>
  <c r="K5" i="1"/>
  <c r="H5" i="1"/>
  <c r="E5" i="1"/>
  <c r="B5" i="1"/>
  <c r="BJ4" i="1"/>
  <c r="BG4" i="1"/>
  <c r="BA4" i="1"/>
  <c r="BA3" i="1"/>
  <c r="AR4" i="1"/>
  <c r="AF4" i="1"/>
  <c r="AC4" i="1"/>
  <c r="T4" i="1"/>
  <c r="K4" i="1"/>
  <c r="K6" i="1" s="1"/>
  <c r="H4" i="1"/>
  <c r="E4" i="1"/>
  <c r="B4" i="1"/>
  <c r="BJ3" i="1"/>
  <c r="BG3" i="1"/>
  <c r="AU3" i="1"/>
  <c r="AF3" i="1"/>
  <c r="AC3" i="1"/>
  <c r="Z3" i="1"/>
  <c r="W3" i="1"/>
  <c r="T3" i="1"/>
  <c r="Q3" i="1"/>
  <c r="N3" i="1"/>
  <c r="K3" i="1"/>
  <c r="H3" i="1"/>
  <c r="E3" i="1"/>
  <c r="B3" i="1"/>
  <c r="AX2" i="1"/>
  <c r="AX3" i="1"/>
  <c r="AU5" i="1"/>
  <c r="AO2" i="1"/>
  <c r="AO3" i="1"/>
  <c r="AL4" i="1"/>
  <c r="AI4" i="1"/>
  <c r="AI3" i="1"/>
  <c r="AL3" i="1"/>
  <c r="AL5" i="1"/>
  <c r="B31" i="1"/>
  <c r="AU6" i="1"/>
  <c r="E15" i="1"/>
  <c r="R17" i="1"/>
  <c r="T17" i="1"/>
  <c r="E18" i="1"/>
  <c r="R20" i="1"/>
  <c r="T20" i="1"/>
  <c r="T25" i="1"/>
  <c r="E20" i="1"/>
  <c r="AU4" i="1"/>
  <c r="R27" i="1"/>
  <c r="R29" i="1"/>
  <c r="B27" i="1"/>
  <c r="B32" i="1"/>
  <c r="B33" i="1"/>
  <c r="B35" i="1"/>
  <c r="B36" i="1"/>
  <c r="B29" i="1"/>
</calcChain>
</file>

<file path=xl/sharedStrings.xml><?xml version="1.0" encoding="utf-8"?>
<sst xmlns="http://schemas.openxmlformats.org/spreadsheetml/2006/main" count="324" uniqueCount="96">
  <si>
    <t>Sweet green</t>
  </si>
  <si>
    <t>Therapy Smoothie</t>
  </si>
  <si>
    <t>Wheetgrass</t>
  </si>
  <si>
    <t>Super Red</t>
  </si>
  <si>
    <t>Guawa Glow</t>
  </si>
  <si>
    <t>Cool Pineapple</t>
  </si>
  <si>
    <t>Radiant Apple</t>
  </si>
  <si>
    <t>Crazy Orange</t>
  </si>
  <si>
    <t>Lively carrot</t>
  </si>
  <si>
    <t>Veg Blast</t>
  </si>
  <si>
    <t>Health Heart</t>
  </si>
  <si>
    <t>Pear punch</t>
  </si>
  <si>
    <t>The cleanser</t>
  </si>
  <si>
    <t>Grapes</t>
  </si>
  <si>
    <t>Eye sight booster</t>
  </si>
  <si>
    <t>Vitamin c</t>
  </si>
  <si>
    <t>MUSK MELON</t>
  </si>
  <si>
    <t>Sugarcane + wheetgrass/ Guava</t>
  </si>
  <si>
    <t>Mix fruits</t>
  </si>
  <si>
    <t>Red juice</t>
  </si>
  <si>
    <t>Spicy juice</t>
  </si>
  <si>
    <t>Requirement</t>
  </si>
  <si>
    <t>ml</t>
  </si>
  <si>
    <t>qty</t>
  </si>
  <si>
    <t>Cucumber</t>
  </si>
  <si>
    <t>gm</t>
  </si>
  <si>
    <t>Palak</t>
  </si>
  <si>
    <t>Sweet lime</t>
  </si>
  <si>
    <t>Carrot</t>
  </si>
  <si>
    <t>GM</t>
  </si>
  <si>
    <t>Pineapple</t>
  </si>
  <si>
    <t>gms</t>
  </si>
  <si>
    <t>Apple</t>
  </si>
  <si>
    <t>Malta</t>
  </si>
  <si>
    <t>Beet</t>
  </si>
  <si>
    <t>Pear</t>
  </si>
  <si>
    <t>MUSMELON</t>
  </si>
  <si>
    <t>Sugarcane (20 rs)</t>
  </si>
  <si>
    <t>Carrots</t>
  </si>
  <si>
    <t>Kakdi</t>
  </si>
  <si>
    <t>GMS</t>
  </si>
  <si>
    <t>Dadam</t>
  </si>
  <si>
    <t>Guava</t>
  </si>
  <si>
    <t>pcs</t>
  </si>
  <si>
    <t xml:space="preserve">Water </t>
  </si>
  <si>
    <t>Water</t>
  </si>
  <si>
    <t>Spinach</t>
  </si>
  <si>
    <t>Guava/Wheetgrass</t>
  </si>
  <si>
    <t>gm/ml</t>
  </si>
  <si>
    <t>Tomato</t>
  </si>
  <si>
    <t>Coriander</t>
  </si>
  <si>
    <t>Dhana</t>
  </si>
  <si>
    <t>orange/sweet</t>
  </si>
  <si>
    <t>Capsicum</t>
  </si>
  <si>
    <t>Mooli</t>
  </si>
  <si>
    <t>Lemon</t>
  </si>
  <si>
    <t>water</t>
  </si>
  <si>
    <t>ML</t>
  </si>
  <si>
    <t>NOS.</t>
  </si>
  <si>
    <t>Ginger</t>
  </si>
  <si>
    <t>Coconut grated</t>
  </si>
  <si>
    <t>Cabbage</t>
  </si>
  <si>
    <t>Mint</t>
  </si>
  <si>
    <t>Dudhi</t>
  </si>
  <si>
    <t>Masala</t>
  </si>
  <si>
    <t>Kali mirch</t>
  </si>
  <si>
    <t>inch</t>
  </si>
  <si>
    <t>INCH</t>
  </si>
  <si>
    <t>Green chilli</t>
  </si>
  <si>
    <t>LEMON</t>
  </si>
  <si>
    <t>WATER</t>
  </si>
  <si>
    <t>Juice feasting</t>
  </si>
  <si>
    <t>Total ingredients for juice feasting</t>
  </si>
  <si>
    <t>Carrot &amp; greens</t>
  </si>
  <si>
    <t>Tangy juice</t>
  </si>
  <si>
    <t>Bottle gourd</t>
  </si>
  <si>
    <t>Grated coconut</t>
  </si>
  <si>
    <t>Lemon juice</t>
  </si>
  <si>
    <t xml:space="preserve">Cinnamon, </t>
  </si>
  <si>
    <t>Soinach</t>
  </si>
  <si>
    <t>Turmeric</t>
  </si>
  <si>
    <t>Total RM cost</t>
  </si>
  <si>
    <t>Total Juice</t>
  </si>
  <si>
    <t>Per juice RM cost</t>
  </si>
  <si>
    <t>Bottle cost</t>
  </si>
  <si>
    <t>Delivery cost</t>
  </si>
  <si>
    <t>Super green</t>
  </si>
  <si>
    <t>Total Cost</t>
  </si>
  <si>
    <t>Per bottle cost price</t>
  </si>
  <si>
    <t>Selling price</t>
  </si>
  <si>
    <t>Profit</t>
  </si>
  <si>
    <t>Total juice feasting profit</t>
  </si>
  <si>
    <t>Kiwi</t>
  </si>
  <si>
    <t>Amla</t>
  </si>
  <si>
    <t>Methi</t>
  </si>
  <si>
    <t>Suva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</si>
</sst>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1" fontId="0" fillId="0" borderId="6" xfId="0" applyNumberFormat="1" applyBorder="1"/>
    <xf numFmtId="0" fontId="0" fillId="0" borderId="6" xfId="0" applyBorder="1"/>
    <xf numFmtId="2" fontId="0" fillId="0" borderId="6" xfId="0" applyNumberFormat="1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3" borderId="0" xfId="0" applyFont="1" applyFill="1"/>
    <xf numFmtId="0" fontId="1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4" borderId="13" xfId="0" applyFill="1" applyBorder="1" applyAlignment="1">
      <alignment wrapText="1"/>
    </xf>
    <xf numFmtId="0" fontId="0" fillId="4" borderId="14" xfId="0" applyFill="1" applyBorder="1"/>
    <xf numFmtId="165" fontId="0" fillId="0" borderId="6" xfId="0" applyNumberFormat="1" applyBorder="1"/>
    <xf numFmtId="1" fontId="0" fillId="0" borderId="10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0"/>
  <sheetViews>
    <sheetView tabSelected="1" workbookViewId="0">
      <selection activeCell="D8" sqref="D8"/>
    </sheetView>
  </sheetViews>
  <sheetFormatPr defaultRowHeight="15" x14ac:dyDescent="0.25"/>
  <cols>
    <col min="1" max="1" width="14.85546875" customWidth="1"/>
    <col min="5" max="5" width="13.42578125" bestFit="1" customWidth="1"/>
    <col min="10" max="10" width="11" customWidth="1"/>
    <col min="31" max="31" width="10.7109375" customWidth="1"/>
    <col min="37" max="37" width="10.7109375" customWidth="1"/>
    <col min="40" max="40" width="10.7109375" customWidth="1"/>
    <col min="43" max="43" width="10.7109375" customWidth="1"/>
    <col min="46" max="46" width="10.7109375" customWidth="1"/>
    <col min="49" max="49" width="10.7109375" customWidth="1"/>
    <col min="52" max="52" width="16.7109375" customWidth="1"/>
    <col min="54" max="54" width="11.140625" customWidth="1"/>
  </cols>
  <sheetData>
    <row r="1" spans="1:63" s="10" customFormat="1" ht="18.75" x14ac:dyDescent="0.3">
      <c r="A1" s="1" t="s">
        <v>0</v>
      </c>
      <c r="B1" s="2"/>
      <c r="C1" s="3"/>
      <c r="D1" s="4" t="s">
        <v>1</v>
      </c>
      <c r="E1" s="5"/>
      <c r="F1" s="6"/>
      <c r="G1" s="4" t="s">
        <v>2</v>
      </c>
      <c r="H1" s="5"/>
      <c r="I1" s="6"/>
      <c r="J1" s="4" t="s">
        <v>3</v>
      </c>
      <c r="K1" s="5"/>
      <c r="L1" s="6"/>
      <c r="M1" s="4" t="s">
        <v>4</v>
      </c>
      <c r="N1" s="5"/>
      <c r="O1" s="6"/>
      <c r="P1" s="4" t="s">
        <v>5</v>
      </c>
      <c r="Q1" s="5"/>
      <c r="R1" s="6"/>
      <c r="S1" s="4" t="s">
        <v>6</v>
      </c>
      <c r="T1" s="5"/>
      <c r="U1" s="6"/>
      <c r="V1" s="4" t="s">
        <v>7</v>
      </c>
      <c r="W1" s="5"/>
      <c r="X1" s="6"/>
      <c r="Y1" s="4" t="s">
        <v>8</v>
      </c>
      <c r="Z1" s="5"/>
      <c r="AA1" s="6"/>
      <c r="AB1" s="4" t="s">
        <v>9</v>
      </c>
      <c r="AC1" s="5"/>
      <c r="AD1" s="7"/>
      <c r="AE1" s="4" t="s">
        <v>10</v>
      </c>
      <c r="AF1" s="5"/>
      <c r="AG1" s="7"/>
      <c r="AH1" s="4" t="s">
        <v>11</v>
      </c>
      <c r="AI1" s="5"/>
      <c r="AJ1" s="7"/>
      <c r="AK1" s="4" t="s">
        <v>12</v>
      </c>
      <c r="AL1" s="5"/>
      <c r="AM1" s="7"/>
      <c r="AN1" s="4" t="s">
        <v>13</v>
      </c>
      <c r="AO1" s="5"/>
      <c r="AP1" s="7"/>
      <c r="AQ1" s="4" t="s">
        <v>14</v>
      </c>
      <c r="AR1" s="5"/>
      <c r="AS1" s="7"/>
      <c r="AT1" s="4" t="s">
        <v>15</v>
      </c>
      <c r="AU1" s="5"/>
      <c r="AV1" s="7"/>
      <c r="AW1" s="4" t="s">
        <v>16</v>
      </c>
      <c r="AX1" s="5"/>
      <c r="AY1" s="7"/>
      <c r="AZ1" s="4" t="s">
        <v>17</v>
      </c>
      <c r="BA1" s="5"/>
      <c r="BB1" s="7"/>
      <c r="BC1" s="4" t="s">
        <v>18</v>
      </c>
      <c r="BD1" s="5"/>
      <c r="BE1" s="7"/>
      <c r="BF1" s="1" t="s">
        <v>19</v>
      </c>
      <c r="BG1" s="8"/>
      <c r="BH1" s="9"/>
      <c r="BI1" s="1" t="s">
        <v>20</v>
      </c>
      <c r="BJ1" s="2"/>
      <c r="BK1" s="3"/>
    </row>
    <row r="2" spans="1:63" x14ac:dyDescent="0.25">
      <c r="A2" s="11" t="s">
        <v>21</v>
      </c>
      <c r="B2" s="12">
        <v>500</v>
      </c>
      <c r="C2" s="13" t="s">
        <v>22</v>
      </c>
      <c r="D2" s="11" t="s">
        <v>21</v>
      </c>
      <c r="E2" s="12">
        <v>1500</v>
      </c>
      <c r="F2" s="14" t="s">
        <v>22</v>
      </c>
      <c r="G2" s="11" t="s">
        <v>21</v>
      </c>
      <c r="H2" s="12">
        <v>250</v>
      </c>
      <c r="I2" s="14"/>
      <c r="J2" s="11" t="s">
        <v>21</v>
      </c>
      <c r="K2" s="12">
        <v>1000</v>
      </c>
      <c r="L2" s="14"/>
      <c r="M2" s="11" t="s">
        <v>21</v>
      </c>
      <c r="N2" s="12">
        <v>1000</v>
      </c>
      <c r="O2" s="14"/>
      <c r="P2" s="11" t="s">
        <v>21</v>
      </c>
      <c r="Q2" s="12">
        <v>0</v>
      </c>
      <c r="R2" s="14"/>
      <c r="S2" s="11" t="s">
        <v>21</v>
      </c>
      <c r="T2" s="12">
        <v>1250</v>
      </c>
      <c r="U2" s="14"/>
      <c r="V2" s="11" t="s">
        <v>21</v>
      </c>
      <c r="W2" s="12">
        <v>250</v>
      </c>
      <c r="X2" s="14"/>
      <c r="Y2" s="11" t="s">
        <v>21</v>
      </c>
      <c r="Z2" s="12">
        <v>200</v>
      </c>
      <c r="AA2" s="14"/>
      <c r="AB2" s="11" t="s">
        <v>21</v>
      </c>
      <c r="AC2" s="12">
        <v>250</v>
      </c>
      <c r="AD2" s="13" t="s">
        <v>22</v>
      </c>
      <c r="AE2" s="11" t="s">
        <v>21</v>
      </c>
      <c r="AF2" s="12">
        <v>450</v>
      </c>
      <c r="AG2" s="13" t="s">
        <v>22</v>
      </c>
      <c r="AH2" s="11" t="s">
        <v>21</v>
      </c>
      <c r="AI2" s="12">
        <v>500</v>
      </c>
      <c r="AJ2" s="13" t="s">
        <v>22</v>
      </c>
      <c r="AK2" s="11" t="s">
        <v>21</v>
      </c>
      <c r="AL2" s="12">
        <f>1200</f>
        <v>1200</v>
      </c>
      <c r="AM2" s="13" t="s">
        <v>22</v>
      </c>
      <c r="AN2" s="11" t="s">
        <v>21</v>
      </c>
      <c r="AO2" s="12">
        <f>850+250</f>
        <v>1100</v>
      </c>
      <c r="AP2" s="13" t="s">
        <v>22</v>
      </c>
      <c r="AQ2" s="11" t="s">
        <v>21</v>
      </c>
      <c r="AR2" s="12">
        <v>500</v>
      </c>
      <c r="AS2" s="13" t="s">
        <v>22</v>
      </c>
      <c r="AT2" s="11" t="s">
        <v>21</v>
      </c>
      <c r="AU2" s="12">
        <v>250</v>
      </c>
      <c r="AV2" s="13" t="s">
        <v>22</v>
      </c>
      <c r="AW2" s="11" t="s">
        <v>21</v>
      </c>
      <c r="AX2" s="12">
        <f>400+11*250</f>
        <v>3150</v>
      </c>
      <c r="AY2" s="13" t="s">
        <v>22</v>
      </c>
      <c r="AZ2" s="11" t="s">
        <v>21</v>
      </c>
      <c r="BA2" s="12">
        <v>15</v>
      </c>
      <c r="BB2" s="13" t="s">
        <v>23</v>
      </c>
      <c r="BC2" s="11" t="s">
        <v>21</v>
      </c>
      <c r="BD2" s="12">
        <v>1500</v>
      </c>
      <c r="BE2" s="13" t="s">
        <v>22</v>
      </c>
      <c r="BF2" s="11" t="s">
        <v>21</v>
      </c>
      <c r="BG2" s="12">
        <f>250*6</f>
        <v>1500</v>
      </c>
      <c r="BH2" s="13"/>
      <c r="BI2" s="11" t="s">
        <v>21</v>
      </c>
      <c r="BJ2" s="12">
        <v>500</v>
      </c>
      <c r="BK2" s="13" t="s">
        <v>22</v>
      </c>
    </row>
    <row r="3" spans="1:63" x14ac:dyDescent="0.25">
      <c r="A3" s="11" t="s">
        <v>24</v>
      </c>
      <c r="B3" s="15">
        <f>300*B2/500*1.1*1.07</f>
        <v>353.1</v>
      </c>
      <c r="C3" s="13" t="s">
        <v>25</v>
      </c>
      <c r="D3" s="11" t="s">
        <v>26</v>
      </c>
      <c r="E3" s="16">
        <f>$E$2*70/250</f>
        <v>420</v>
      </c>
      <c r="F3" s="14" t="s">
        <v>25</v>
      </c>
      <c r="G3" s="11" t="s">
        <v>27</v>
      </c>
      <c r="H3" s="16">
        <f>$H$2*150/250*2</f>
        <v>300</v>
      </c>
      <c r="I3" s="14" t="s">
        <v>22</v>
      </c>
      <c r="J3" s="11" t="s">
        <v>28</v>
      </c>
      <c r="K3" s="16">
        <f>K2*112/200*2*1.1*1</f>
        <v>1232</v>
      </c>
      <c r="L3" s="14" t="s">
        <v>29</v>
      </c>
      <c r="M3" s="11" t="s">
        <v>30</v>
      </c>
      <c r="N3" s="16">
        <f>N2*2</f>
        <v>2000</v>
      </c>
      <c r="O3" s="14" t="s">
        <v>31</v>
      </c>
      <c r="P3" s="11" t="s">
        <v>30</v>
      </c>
      <c r="Q3" s="16">
        <f>Q2*2</f>
        <v>0</v>
      </c>
      <c r="R3" s="14" t="s">
        <v>31</v>
      </c>
      <c r="S3" s="11" t="s">
        <v>32</v>
      </c>
      <c r="T3" s="16">
        <f>$T$2*250/250</f>
        <v>1250</v>
      </c>
      <c r="U3" s="14" t="s">
        <v>25</v>
      </c>
      <c r="V3" s="11" t="s">
        <v>33</v>
      </c>
      <c r="W3" s="16">
        <f>$T$2*600/250</f>
        <v>3000</v>
      </c>
      <c r="X3" s="14" t="s">
        <v>25</v>
      </c>
      <c r="Y3" s="11" t="s">
        <v>28</v>
      </c>
      <c r="Z3" s="16">
        <f>$Z$2*625/250</f>
        <v>500</v>
      </c>
      <c r="AA3" s="14" t="s">
        <v>25</v>
      </c>
      <c r="AB3" s="11" t="s">
        <v>26</v>
      </c>
      <c r="AC3" s="16">
        <f>$AC$2*70/250</f>
        <v>70</v>
      </c>
      <c r="AD3" s="13" t="s">
        <v>25</v>
      </c>
      <c r="AE3" s="11" t="s">
        <v>34</v>
      </c>
      <c r="AF3" s="16">
        <f>$AF$2*100/200*0.88</f>
        <v>198</v>
      </c>
      <c r="AG3" s="13" t="s">
        <v>25</v>
      </c>
      <c r="AH3" s="11" t="s">
        <v>35</v>
      </c>
      <c r="AI3" s="16">
        <f>AI2*1.33</f>
        <v>665</v>
      </c>
      <c r="AJ3" s="13" t="s">
        <v>31</v>
      </c>
      <c r="AK3" s="11" t="s">
        <v>34</v>
      </c>
      <c r="AL3" s="16">
        <f>$AL$2*30/250*0.88</f>
        <v>126.72</v>
      </c>
      <c r="AM3" s="13" t="s">
        <v>25</v>
      </c>
      <c r="AN3" s="11" t="s">
        <v>13</v>
      </c>
      <c r="AO3" s="16">
        <f>AO2</f>
        <v>1100</v>
      </c>
      <c r="AP3" s="13" t="s">
        <v>25</v>
      </c>
      <c r="AQ3" s="11" t="s">
        <v>28</v>
      </c>
      <c r="AR3" s="16">
        <f>$AR$2*240/200</f>
        <v>600</v>
      </c>
      <c r="AS3" s="13" t="s">
        <v>25</v>
      </c>
      <c r="AT3" s="11" t="s">
        <v>28</v>
      </c>
      <c r="AU3" s="15">
        <f>AU2*0.333*3.5</f>
        <v>291.375</v>
      </c>
      <c r="AV3" s="13" t="s">
        <v>25</v>
      </c>
      <c r="AW3" s="11" t="s">
        <v>36</v>
      </c>
      <c r="AX3" s="15">
        <f>AX2*1.9</f>
        <v>5985</v>
      </c>
      <c r="AY3" s="13" t="s">
        <v>25</v>
      </c>
      <c r="AZ3" s="11" t="s">
        <v>37</v>
      </c>
      <c r="BA3" s="17">
        <f>(BA2*250-BA4)/350</f>
        <v>9.4285714285714288</v>
      </c>
      <c r="BB3" s="13" t="s">
        <v>22</v>
      </c>
      <c r="BC3" s="11" t="s">
        <v>32</v>
      </c>
      <c r="BD3" s="15">
        <v>600</v>
      </c>
      <c r="BE3" s="13" t="s">
        <v>25</v>
      </c>
      <c r="BF3" s="11" t="s">
        <v>28</v>
      </c>
      <c r="BG3" s="16">
        <f>683*BG2/500</f>
        <v>2049</v>
      </c>
      <c r="BH3" s="13" t="s">
        <v>25</v>
      </c>
      <c r="BI3" s="11" t="s">
        <v>38</v>
      </c>
      <c r="BJ3" s="16">
        <f>400*BJ2/500</f>
        <v>400</v>
      </c>
      <c r="BK3" s="13" t="s">
        <v>25</v>
      </c>
    </row>
    <row r="4" spans="1:63" x14ac:dyDescent="0.25">
      <c r="A4" s="11" t="s">
        <v>32</v>
      </c>
      <c r="B4" s="15">
        <f>200*B2/500*1.1*1.07*1.1</f>
        <v>258.94000000000005</v>
      </c>
      <c r="C4" s="13" t="s">
        <v>25</v>
      </c>
      <c r="D4" s="11" t="s">
        <v>32</v>
      </c>
      <c r="E4" s="16">
        <f>$E$2*60/250</f>
        <v>360</v>
      </c>
      <c r="F4" s="14" t="s">
        <v>25</v>
      </c>
      <c r="G4" s="11" t="s">
        <v>39</v>
      </c>
      <c r="H4" s="16">
        <f>$H$2*75/250*1.9</f>
        <v>142.5</v>
      </c>
      <c r="I4" s="14" t="s">
        <v>40</v>
      </c>
      <c r="J4" s="11" t="s">
        <v>41</v>
      </c>
      <c r="K4" s="16">
        <f>K2*24/200*2</f>
        <v>240</v>
      </c>
      <c r="L4" s="14" t="s">
        <v>29</v>
      </c>
      <c r="M4" s="11" t="s">
        <v>42</v>
      </c>
      <c r="N4" s="16">
        <v>0.5</v>
      </c>
      <c r="O4" s="14" t="s">
        <v>43</v>
      </c>
      <c r="P4" s="11"/>
      <c r="Q4" s="16"/>
      <c r="R4" s="14"/>
      <c r="S4" s="11" t="s">
        <v>44</v>
      </c>
      <c r="T4" s="16">
        <f>T2/2</f>
        <v>625</v>
      </c>
      <c r="U4" s="14"/>
      <c r="V4" s="11"/>
      <c r="W4" s="16"/>
      <c r="X4" s="14"/>
      <c r="Y4" s="11"/>
      <c r="Z4" s="16"/>
      <c r="AA4" s="14"/>
      <c r="AB4" s="11" t="s">
        <v>32</v>
      </c>
      <c r="AC4" s="16">
        <f>$AC$2*60/250</f>
        <v>60</v>
      </c>
      <c r="AD4" s="13" t="s">
        <v>25</v>
      </c>
      <c r="AE4" s="11" t="s">
        <v>32</v>
      </c>
      <c r="AF4" s="16">
        <f>$AF$2*50/200</f>
        <v>112.5</v>
      </c>
      <c r="AG4" s="13" t="s">
        <v>25</v>
      </c>
      <c r="AH4" s="11" t="s">
        <v>45</v>
      </c>
      <c r="AI4" s="16">
        <f>AI2*38/250</f>
        <v>76</v>
      </c>
      <c r="AJ4" s="13" t="s">
        <v>22</v>
      </c>
      <c r="AK4" s="11" t="s">
        <v>32</v>
      </c>
      <c r="AL4" s="16">
        <f>$AL$2*158/250</f>
        <v>758.4</v>
      </c>
      <c r="AM4" s="13" t="s">
        <v>25</v>
      </c>
      <c r="AN4" s="11"/>
      <c r="AO4" s="16"/>
      <c r="AP4" s="13"/>
      <c r="AQ4" s="11" t="s">
        <v>46</v>
      </c>
      <c r="AR4" s="16">
        <f>AR2*34/200</f>
        <v>85</v>
      </c>
      <c r="AS4" s="13" t="s">
        <v>25</v>
      </c>
      <c r="AT4" s="11" t="s">
        <v>42</v>
      </c>
      <c r="AU4" s="16">
        <f>AU2*0.33/225/1.5</f>
        <v>0.24444444444444444</v>
      </c>
      <c r="AV4" s="13" t="s">
        <v>25</v>
      </c>
      <c r="AW4" s="11"/>
      <c r="AX4" s="15"/>
      <c r="AY4" s="13"/>
      <c r="AZ4" s="11" t="s">
        <v>47</v>
      </c>
      <c r="BA4" s="15">
        <f>BA2*30</f>
        <v>450</v>
      </c>
      <c r="BB4" s="13" t="s">
        <v>48</v>
      </c>
      <c r="BC4" s="11" t="s">
        <v>41</v>
      </c>
      <c r="BD4" s="16">
        <v>1500</v>
      </c>
      <c r="BE4" s="13" t="s">
        <v>25</v>
      </c>
      <c r="BF4" s="11" t="s">
        <v>49</v>
      </c>
      <c r="BG4" s="16">
        <f>328*BG2/500</f>
        <v>984</v>
      </c>
      <c r="BH4" s="13" t="s">
        <v>25</v>
      </c>
      <c r="BI4" s="11" t="s">
        <v>49</v>
      </c>
      <c r="BJ4" s="16">
        <f>450*BJ2/500</f>
        <v>450</v>
      </c>
      <c r="BK4" s="13" t="s">
        <v>25</v>
      </c>
    </row>
    <row r="5" spans="1:63" x14ac:dyDescent="0.25">
      <c r="A5" s="11" t="s">
        <v>50</v>
      </c>
      <c r="B5" s="15">
        <f>20*B2/500*1.1*1.07</f>
        <v>23.540000000000003</v>
      </c>
      <c r="C5" s="13" t="s">
        <v>25</v>
      </c>
      <c r="D5" s="11" t="s">
        <v>45</v>
      </c>
      <c r="E5" s="16">
        <f>$E$2*150/250</f>
        <v>900</v>
      </c>
      <c r="F5" s="14" t="s">
        <v>22</v>
      </c>
      <c r="G5" s="11" t="s">
        <v>2</v>
      </c>
      <c r="H5" s="16">
        <f>$H$2*35/250</f>
        <v>35</v>
      </c>
      <c r="I5" s="14" t="s">
        <v>22</v>
      </c>
      <c r="J5" s="11" t="s">
        <v>33</v>
      </c>
      <c r="K5" s="16">
        <f>K2*40/200*2</f>
        <v>400</v>
      </c>
      <c r="L5" s="14" t="s">
        <v>29</v>
      </c>
      <c r="M5" s="11"/>
      <c r="N5" s="16"/>
      <c r="O5" s="14"/>
      <c r="P5" s="11"/>
      <c r="Q5" s="16"/>
      <c r="R5" s="14"/>
      <c r="S5" s="11"/>
      <c r="T5" s="16"/>
      <c r="U5" s="14"/>
      <c r="V5" s="11"/>
      <c r="W5" s="16"/>
      <c r="X5" s="14"/>
      <c r="Y5" s="11"/>
      <c r="Z5" s="16"/>
      <c r="AA5" s="14"/>
      <c r="AB5" s="11" t="s">
        <v>45</v>
      </c>
      <c r="AC5" s="16">
        <f>$AC$2*150/250</f>
        <v>150</v>
      </c>
      <c r="AD5" s="13" t="s">
        <v>22</v>
      </c>
      <c r="AE5" s="11" t="s">
        <v>35</v>
      </c>
      <c r="AF5" s="16">
        <f>$AF$2*50/200</f>
        <v>112.5</v>
      </c>
      <c r="AG5" s="13" t="s">
        <v>25</v>
      </c>
      <c r="AH5" s="11"/>
      <c r="AI5" s="16"/>
      <c r="AJ5" s="13"/>
      <c r="AK5" s="11" t="s">
        <v>28</v>
      </c>
      <c r="AL5" s="16">
        <f>$AL$2*140/250*1.7*0.8</f>
        <v>913.92</v>
      </c>
      <c r="AM5" s="13" t="s">
        <v>25</v>
      </c>
      <c r="AN5" s="11"/>
      <c r="AO5" s="16"/>
      <c r="AP5" s="13"/>
      <c r="AQ5" s="11" t="s">
        <v>51</v>
      </c>
      <c r="AR5" s="16">
        <f>AR3*8.5/200</f>
        <v>25.5</v>
      </c>
      <c r="AS5" s="13" t="s">
        <v>25</v>
      </c>
      <c r="AT5" s="11" t="s">
        <v>52</v>
      </c>
      <c r="AU5" s="15">
        <f>AU2*0.333*1.8</f>
        <v>149.85</v>
      </c>
      <c r="AV5" s="13" t="s">
        <v>25</v>
      </c>
      <c r="AW5" s="11"/>
      <c r="AX5" s="15"/>
      <c r="AY5" s="13"/>
      <c r="AZ5" s="11"/>
      <c r="BA5" s="15"/>
      <c r="BB5" s="13"/>
      <c r="BC5" s="11" t="s">
        <v>30</v>
      </c>
      <c r="BD5" s="18">
        <f>BD2*0.15/250</f>
        <v>0.9</v>
      </c>
      <c r="BE5" s="13" t="s">
        <v>43</v>
      </c>
      <c r="BF5" s="11" t="s">
        <v>53</v>
      </c>
      <c r="BG5" s="16">
        <f>40*BG2/500</f>
        <v>120</v>
      </c>
      <c r="BH5" s="13" t="s">
        <v>25</v>
      </c>
      <c r="BI5" s="11" t="s">
        <v>54</v>
      </c>
      <c r="BJ5" s="16">
        <f>54*BJ2/500</f>
        <v>54</v>
      </c>
      <c r="BK5" s="13" t="s">
        <v>25</v>
      </c>
    </row>
    <row r="6" spans="1:63" x14ac:dyDescent="0.25">
      <c r="A6" s="11" t="s">
        <v>46</v>
      </c>
      <c r="B6" s="15">
        <f>80*B2/500*1.1*1.07</f>
        <v>94.160000000000011</v>
      </c>
      <c r="C6" s="13" t="s">
        <v>25</v>
      </c>
      <c r="D6" s="11" t="s">
        <v>55</v>
      </c>
      <c r="E6" s="16">
        <f>$E$2*0.5/250</f>
        <v>3</v>
      </c>
      <c r="F6" s="14" t="s">
        <v>43</v>
      </c>
      <c r="G6" s="11"/>
      <c r="H6" s="16"/>
      <c r="I6" s="14"/>
      <c r="J6" s="11" t="s">
        <v>34</v>
      </c>
      <c r="K6" s="16">
        <f>K4*0.88</f>
        <v>211.2</v>
      </c>
      <c r="L6" s="14" t="s">
        <v>29</v>
      </c>
      <c r="M6" s="11"/>
      <c r="N6" s="16"/>
      <c r="O6" s="14"/>
      <c r="P6" s="11"/>
      <c r="Q6" s="16"/>
      <c r="R6" s="14"/>
      <c r="S6" s="11"/>
      <c r="T6" s="16"/>
      <c r="U6" s="14"/>
      <c r="V6" s="11"/>
      <c r="W6" s="16"/>
      <c r="X6" s="14"/>
      <c r="Y6" s="11"/>
      <c r="Z6" s="16"/>
      <c r="AA6" s="14"/>
      <c r="AB6" s="11" t="s">
        <v>55</v>
      </c>
      <c r="AC6" s="16">
        <f>$AC$2*0.5/250</f>
        <v>0.5</v>
      </c>
      <c r="AD6" s="13" t="s">
        <v>43</v>
      </c>
      <c r="AE6" s="11" t="s">
        <v>39</v>
      </c>
      <c r="AF6" s="16">
        <f>$AF$2*85/200</f>
        <v>191.25</v>
      </c>
      <c r="AG6" s="13" t="s">
        <v>31</v>
      </c>
      <c r="AH6" s="11"/>
      <c r="AI6" s="16"/>
      <c r="AJ6" s="13"/>
      <c r="AK6" s="11" t="s">
        <v>56</v>
      </c>
      <c r="AL6" s="16">
        <f>0.25*AL2</f>
        <v>300</v>
      </c>
      <c r="AM6" s="13" t="s">
        <v>22</v>
      </c>
      <c r="AN6" s="11"/>
      <c r="AO6" s="16"/>
      <c r="AP6" s="13"/>
      <c r="AQ6" s="11" t="s">
        <v>45</v>
      </c>
      <c r="AR6" s="16">
        <f>AR2*40/200</f>
        <v>100</v>
      </c>
      <c r="AS6" s="13" t="s">
        <v>57</v>
      </c>
      <c r="AT6" s="11" t="s">
        <v>30</v>
      </c>
      <c r="AU6" s="16">
        <f>AU2*0.33/225/3</f>
        <v>0.12222222222222222</v>
      </c>
      <c r="AV6" s="13" t="s">
        <v>58</v>
      </c>
      <c r="AW6" s="11"/>
      <c r="AX6" s="16"/>
      <c r="AY6" s="13"/>
      <c r="AZ6" s="11"/>
      <c r="BA6" s="16"/>
      <c r="BB6" s="13"/>
      <c r="BC6" s="11" t="s">
        <v>59</v>
      </c>
      <c r="BD6" s="16">
        <f>BD2*0.5/250</f>
        <v>3</v>
      </c>
      <c r="BE6" s="13" t="s">
        <v>43</v>
      </c>
      <c r="BF6" s="11" t="s">
        <v>60</v>
      </c>
      <c r="BG6" s="16">
        <f>15*BG2/500/2</f>
        <v>22.5</v>
      </c>
      <c r="BH6" s="13" t="s">
        <v>25</v>
      </c>
      <c r="BI6" s="11" t="s">
        <v>61</v>
      </c>
      <c r="BJ6" s="16">
        <f>BJ5*1.5</f>
        <v>81</v>
      </c>
      <c r="BK6" s="13" t="s">
        <v>25</v>
      </c>
    </row>
    <row r="7" spans="1:63" x14ac:dyDescent="0.25">
      <c r="A7" s="11" t="s">
        <v>62</v>
      </c>
      <c r="B7" s="15">
        <f>5*B2/500*1.1*1.07</f>
        <v>5.8850000000000007</v>
      </c>
      <c r="C7" s="13" t="s">
        <v>25</v>
      </c>
      <c r="D7" s="11"/>
      <c r="E7" s="16"/>
      <c r="F7" s="14"/>
      <c r="G7" s="11"/>
      <c r="H7" s="16"/>
      <c r="I7" s="14"/>
      <c r="J7" s="11"/>
      <c r="K7" s="16"/>
      <c r="L7" s="14"/>
      <c r="M7" s="11"/>
      <c r="N7" s="16"/>
      <c r="O7" s="14"/>
      <c r="P7" s="11"/>
      <c r="Q7" s="16"/>
      <c r="R7" s="14"/>
      <c r="S7" s="11"/>
      <c r="T7" s="16"/>
      <c r="U7" s="14"/>
      <c r="V7" s="11"/>
      <c r="W7" s="16"/>
      <c r="X7" s="14"/>
      <c r="Y7" s="11"/>
      <c r="Z7" s="16"/>
      <c r="AA7" s="14"/>
      <c r="AB7" s="11" t="s">
        <v>63</v>
      </c>
      <c r="AC7" s="16">
        <f>$AC$2*200/250</f>
        <v>200</v>
      </c>
      <c r="AD7" s="13" t="s">
        <v>25</v>
      </c>
      <c r="AE7" s="11" t="s">
        <v>45</v>
      </c>
      <c r="AF7" s="16">
        <f>$AF$2*20/200</f>
        <v>45</v>
      </c>
      <c r="AG7" s="13" t="s">
        <v>22</v>
      </c>
      <c r="AH7" s="11"/>
      <c r="AI7" s="16"/>
      <c r="AJ7" s="13"/>
      <c r="AK7" s="11"/>
      <c r="AL7" s="16"/>
      <c r="AM7" s="13"/>
      <c r="AN7" s="11"/>
      <c r="AO7" s="16"/>
      <c r="AP7" s="13"/>
      <c r="AQ7" s="11"/>
      <c r="AR7" s="16"/>
      <c r="AS7" s="13"/>
      <c r="AT7" s="11" t="s">
        <v>27</v>
      </c>
      <c r="AU7" s="16">
        <f>AU2/1.8</f>
        <v>138.88888888888889</v>
      </c>
      <c r="AV7" s="13"/>
      <c r="AW7" s="11"/>
      <c r="AX7" s="16"/>
      <c r="AY7" s="13"/>
      <c r="AZ7" s="11"/>
      <c r="BA7" s="16"/>
      <c r="BB7" s="13"/>
      <c r="BC7" s="11" t="s">
        <v>27</v>
      </c>
      <c r="BD7" s="16">
        <v>1000</v>
      </c>
      <c r="BE7" s="13"/>
      <c r="BF7" s="11" t="s">
        <v>64</v>
      </c>
      <c r="BG7" s="16" t="s">
        <v>65</v>
      </c>
      <c r="BH7" s="13"/>
      <c r="BI7" s="11" t="s">
        <v>59</v>
      </c>
      <c r="BJ7" s="16">
        <v>0.5</v>
      </c>
      <c r="BK7" s="13" t="s">
        <v>66</v>
      </c>
    </row>
    <row r="8" spans="1:63" x14ac:dyDescent="0.25">
      <c r="A8" s="11" t="s">
        <v>59</v>
      </c>
      <c r="B8" s="15">
        <f>B2*0.5/500*1.1*1.07</f>
        <v>0.58850000000000013</v>
      </c>
      <c r="C8" s="13" t="s">
        <v>67</v>
      </c>
      <c r="D8" s="11"/>
      <c r="E8" s="16"/>
      <c r="F8" s="14"/>
      <c r="G8" s="11"/>
      <c r="H8" s="16"/>
      <c r="I8" s="14"/>
      <c r="J8" s="11"/>
      <c r="K8" s="16"/>
      <c r="L8" s="14"/>
      <c r="M8" s="11"/>
      <c r="N8" s="16"/>
      <c r="O8" s="14"/>
      <c r="P8" s="11"/>
      <c r="Q8" s="16"/>
      <c r="R8" s="14"/>
      <c r="S8" s="11"/>
      <c r="T8" s="16"/>
      <c r="U8" s="14"/>
      <c r="V8" s="11"/>
      <c r="W8" s="16"/>
      <c r="X8" s="14"/>
      <c r="Y8" s="11"/>
      <c r="Z8" s="16"/>
      <c r="AA8" s="14"/>
      <c r="AB8" s="11"/>
      <c r="AC8" s="16"/>
      <c r="AD8" s="13"/>
      <c r="AE8" s="11"/>
      <c r="AF8" s="16"/>
      <c r="AG8" s="13"/>
      <c r="AH8" s="11"/>
      <c r="AI8" s="16"/>
      <c r="AJ8" s="13"/>
      <c r="AK8" s="11"/>
      <c r="AL8" s="16"/>
      <c r="AM8" s="13"/>
      <c r="AN8" s="11"/>
      <c r="AO8" s="16"/>
      <c r="AP8" s="13"/>
      <c r="AQ8" s="11"/>
      <c r="AR8" s="16"/>
      <c r="AS8" s="13"/>
      <c r="AT8" s="11"/>
      <c r="AU8" s="16"/>
      <c r="AV8" s="13"/>
      <c r="AW8" s="11"/>
      <c r="AX8" s="16"/>
      <c r="AY8" s="13"/>
      <c r="AZ8" s="11"/>
      <c r="BA8" s="16"/>
      <c r="BB8" s="13"/>
      <c r="BC8" s="11" t="s">
        <v>35</v>
      </c>
      <c r="BD8" s="16">
        <v>600</v>
      </c>
      <c r="BE8" s="13"/>
      <c r="BF8" s="11"/>
      <c r="BG8" s="16"/>
      <c r="BH8" s="13"/>
      <c r="BI8" s="11" t="s">
        <v>68</v>
      </c>
      <c r="BJ8" s="16">
        <v>1</v>
      </c>
      <c r="BK8" s="13" t="s">
        <v>43</v>
      </c>
    </row>
    <row r="9" spans="1:63" x14ac:dyDescent="0.25">
      <c r="A9" s="11" t="s">
        <v>55</v>
      </c>
      <c r="B9" s="15">
        <f>B2*0.5/500*1.1*1.07</f>
        <v>0.58850000000000013</v>
      </c>
      <c r="C9" s="13" t="s">
        <v>69</v>
      </c>
      <c r="D9" s="11"/>
      <c r="E9" s="16"/>
      <c r="F9" s="14"/>
      <c r="G9" s="11"/>
      <c r="H9" s="16"/>
      <c r="I9" s="14"/>
      <c r="J9" s="11"/>
      <c r="K9" s="16"/>
      <c r="L9" s="14"/>
      <c r="M9" s="11"/>
      <c r="N9" s="16"/>
      <c r="O9" s="14"/>
      <c r="P9" s="11"/>
      <c r="Q9" s="16"/>
      <c r="R9" s="14"/>
      <c r="S9" s="11"/>
      <c r="T9" s="16"/>
      <c r="U9" s="14"/>
      <c r="V9" s="11"/>
      <c r="W9" s="16"/>
      <c r="X9" s="14"/>
      <c r="Y9" s="11"/>
      <c r="Z9" s="16"/>
      <c r="AA9" s="14"/>
      <c r="AB9" s="11"/>
      <c r="AC9" s="16"/>
      <c r="AD9" s="13"/>
      <c r="AE9" s="11"/>
      <c r="AF9" s="16"/>
      <c r="AG9" s="13"/>
      <c r="AH9" s="11"/>
      <c r="AI9" s="16"/>
      <c r="AJ9" s="13"/>
      <c r="AK9" s="11"/>
      <c r="AL9" s="16"/>
      <c r="AM9" s="13"/>
      <c r="AN9" s="11"/>
      <c r="AO9" s="16"/>
      <c r="AP9" s="13"/>
      <c r="AQ9" s="11"/>
      <c r="AR9" s="16"/>
      <c r="AS9" s="13"/>
      <c r="AT9" s="11"/>
      <c r="AU9" s="16"/>
      <c r="AV9" s="13"/>
      <c r="AW9" s="11"/>
      <c r="AX9" s="16"/>
      <c r="AY9" s="13"/>
      <c r="AZ9" s="11"/>
      <c r="BA9" s="16"/>
      <c r="BB9" s="13"/>
      <c r="BC9" s="11" t="s">
        <v>70</v>
      </c>
      <c r="BD9" s="16"/>
      <c r="BE9" s="13"/>
      <c r="BF9" s="11"/>
      <c r="BG9" s="16"/>
      <c r="BH9" s="13"/>
      <c r="BI9" s="11" t="s">
        <v>64</v>
      </c>
      <c r="BJ9" s="16" t="s">
        <v>65</v>
      </c>
      <c r="BK9" s="13"/>
    </row>
    <row r="10" spans="1:63" ht="15.75" thickBot="1" x14ac:dyDescent="0.3">
      <c r="A10" s="19" t="s">
        <v>64</v>
      </c>
      <c r="B10" s="20" t="s">
        <v>65</v>
      </c>
      <c r="C10" s="21"/>
      <c r="D10" s="19"/>
      <c r="E10" s="20"/>
      <c r="F10" s="22"/>
      <c r="G10" s="19"/>
      <c r="H10" s="20"/>
      <c r="I10" s="22"/>
      <c r="J10" s="19"/>
      <c r="K10" s="20"/>
      <c r="L10" s="22"/>
      <c r="M10" s="19"/>
      <c r="N10" s="20"/>
      <c r="O10" s="22"/>
      <c r="P10" s="19"/>
      <c r="Q10" s="20"/>
      <c r="R10" s="22"/>
      <c r="S10" s="19"/>
      <c r="T10" s="20"/>
      <c r="U10" s="22"/>
      <c r="V10" s="19"/>
      <c r="W10" s="20"/>
      <c r="X10" s="22"/>
      <c r="Y10" s="19"/>
      <c r="Z10" s="20"/>
      <c r="AA10" s="22"/>
      <c r="AB10" s="19"/>
      <c r="AC10" s="20"/>
      <c r="AD10" s="21"/>
      <c r="AE10" s="19"/>
      <c r="AF10" s="20"/>
      <c r="AG10" s="21"/>
      <c r="AH10" s="19"/>
      <c r="AI10" s="20"/>
      <c r="AJ10" s="21"/>
      <c r="AK10" s="19"/>
      <c r="AL10" s="20"/>
      <c r="AM10" s="21"/>
      <c r="AN10" s="19"/>
      <c r="AO10" s="20"/>
      <c r="AP10" s="21"/>
      <c r="AQ10" s="19"/>
      <c r="AR10" s="20"/>
      <c r="AS10" s="21"/>
      <c r="AT10" s="19"/>
      <c r="AU10" s="20"/>
      <c r="AV10" s="21"/>
      <c r="AW10" s="19"/>
      <c r="AX10" s="20"/>
      <c r="AY10" s="21"/>
      <c r="AZ10" s="19"/>
      <c r="BA10" s="20"/>
      <c r="BB10" s="21"/>
      <c r="BC10" s="19"/>
      <c r="BD10" s="20"/>
      <c r="BE10" s="21"/>
      <c r="BF10" s="19"/>
      <c r="BG10" s="20"/>
      <c r="BH10" s="21"/>
      <c r="BI10" s="11"/>
      <c r="BJ10" s="16"/>
      <c r="BK10" s="13"/>
    </row>
    <row r="11" spans="1:63" ht="15.75" thickBot="1" x14ac:dyDescent="0.3"/>
    <row r="12" spans="1:63" ht="19.5" thickBot="1" x14ac:dyDescent="0.35">
      <c r="A12" s="23" t="s">
        <v>71</v>
      </c>
      <c r="Q12" s="31" t="s">
        <v>72</v>
      </c>
      <c r="R12" s="32"/>
      <c r="S12" s="32"/>
      <c r="T12" s="33"/>
    </row>
    <row r="13" spans="1:63" ht="15.75" x14ac:dyDescent="0.25">
      <c r="A13" s="1" t="s">
        <v>19</v>
      </c>
      <c r="B13" s="8"/>
      <c r="C13" s="9"/>
      <c r="D13" s="1" t="s">
        <v>0</v>
      </c>
      <c r="E13" s="2"/>
      <c r="F13" s="3"/>
      <c r="G13" s="1" t="s">
        <v>20</v>
      </c>
      <c r="H13" s="2"/>
      <c r="I13" s="3"/>
      <c r="J13" s="1" t="s">
        <v>73</v>
      </c>
      <c r="K13" s="2"/>
      <c r="L13" s="3"/>
      <c r="M13" s="1" t="s">
        <v>74</v>
      </c>
      <c r="N13" s="2"/>
      <c r="O13" s="9"/>
      <c r="Q13" s="11" t="s">
        <v>28</v>
      </c>
      <c r="R13" s="16">
        <f>(B15+H15+K15)</f>
        <v>2023</v>
      </c>
      <c r="S13" s="16" t="s">
        <v>31</v>
      </c>
      <c r="T13" s="13">
        <f>R13*50/1000</f>
        <v>101.15</v>
      </c>
      <c r="BC13" s="24"/>
    </row>
    <row r="14" spans="1:63" x14ac:dyDescent="0.25">
      <c r="A14" s="11" t="s">
        <v>21</v>
      </c>
      <c r="B14" s="12">
        <v>500</v>
      </c>
      <c r="C14" s="13"/>
      <c r="D14" s="11" t="s">
        <v>21</v>
      </c>
      <c r="E14" s="12">
        <f>2500</f>
        <v>2500</v>
      </c>
      <c r="F14" s="13" t="s">
        <v>22</v>
      </c>
      <c r="G14" s="11" t="s">
        <v>21</v>
      </c>
      <c r="H14" s="12">
        <v>500</v>
      </c>
      <c r="I14" s="13" t="s">
        <v>22</v>
      </c>
      <c r="J14" s="11" t="s">
        <v>21</v>
      </c>
      <c r="K14" s="12">
        <v>500</v>
      </c>
      <c r="L14" s="13" t="s">
        <v>22</v>
      </c>
      <c r="M14" s="11" t="s">
        <v>21</v>
      </c>
      <c r="N14" s="12">
        <v>500</v>
      </c>
      <c r="O14" s="13" t="s">
        <v>22</v>
      </c>
      <c r="Q14" s="11" t="s">
        <v>49</v>
      </c>
      <c r="R14" s="16">
        <f>B16+H16+N17</f>
        <v>1298</v>
      </c>
      <c r="S14" s="16" t="s">
        <v>31</v>
      </c>
      <c r="T14" s="13">
        <f>R14*40/1000</f>
        <v>51.92</v>
      </c>
    </row>
    <row r="15" spans="1:63" x14ac:dyDescent="0.25">
      <c r="A15" s="11" t="s">
        <v>28</v>
      </c>
      <c r="B15" s="16">
        <f>683*B14/500</f>
        <v>683</v>
      </c>
      <c r="C15" s="13" t="s">
        <v>25</v>
      </c>
      <c r="D15" s="11" t="s">
        <v>24</v>
      </c>
      <c r="E15" s="15">
        <f>300*E14/500*1.1*1.07</f>
        <v>1765.5000000000005</v>
      </c>
      <c r="F15" s="13" t="s">
        <v>25</v>
      </c>
      <c r="G15" s="11" t="s">
        <v>38</v>
      </c>
      <c r="H15" s="16">
        <f>400*H14/500</f>
        <v>400</v>
      </c>
      <c r="I15" s="13" t="s">
        <v>25</v>
      </c>
      <c r="J15" s="11" t="s">
        <v>38</v>
      </c>
      <c r="K15" s="16">
        <f>940*K14/500</f>
        <v>940</v>
      </c>
      <c r="L15" s="13" t="s">
        <v>25</v>
      </c>
      <c r="M15" s="11" t="s">
        <v>75</v>
      </c>
      <c r="N15" s="16">
        <f>190*N14/500</f>
        <v>190</v>
      </c>
      <c r="O15" s="13"/>
      <c r="Q15" s="11" t="s">
        <v>53</v>
      </c>
      <c r="R15" s="16">
        <f>B17+N16</f>
        <v>270</v>
      </c>
      <c r="S15" s="16" t="s">
        <v>31</v>
      </c>
      <c r="T15" s="13">
        <f>R15*100/1000</f>
        <v>27</v>
      </c>
    </row>
    <row r="16" spans="1:63" x14ac:dyDescent="0.25">
      <c r="A16" s="11" t="s">
        <v>49</v>
      </c>
      <c r="B16" s="16">
        <f>328*B14/500</f>
        <v>328</v>
      </c>
      <c r="C16" s="13" t="s">
        <v>25</v>
      </c>
      <c r="D16" s="11" t="s">
        <v>32</v>
      </c>
      <c r="E16" s="15">
        <f>200*E14/500*1.1*1.07*1.1</f>
        <v>1294.7</v>
      </c>
      <c r="F16" s="13" t="s">
        <v>25</v>
      </c>
      <c r="G16" s="11" t="s">
        <v>49</v>
      </c>
      <c r="H16" s="16">
        <f>450*H14/500</f>
        <v>450</v>
      </c>
      <c r="I16" s="13" t="s">
        <v>25</v>
      </c>
      <c r="J16" s="11" t="s">
        <v>46</v>
      </c>
      <c r="K16" s="16">
        <f>120*K14/500</f>
        <v>120</v>
      </c>
      <c r="L16" s="13">
        <v>5</v>
      </c>
      <c r="M16" s="11" t="s">
        <v>53</v>
      </c>
      <c r="N16" s="16">
        <f>230*N14/500</f>
        <v>230</v>
      </c>
      <c r="O16" s="13"/>
      <c r="Q16" s="11" t="s">
        <v>76</v>
      </c>
      <c r="R16" s="16">
        <f>B18</f>
        <v>7.5</v>
      </c>
      <c r="S16" s="16" t="s">
        <v>31</v>
      </c>
      <c r="T16" s="13">
        <f>R16*5/15</f>
        <v>2.5</v>
      </c>
    </row>
    <row r="17" spans="1:20" x14ac:dyDescent="0.25">
      <c r="A17" s="11" t="s">
        <v>53</v>
      </c>
      <c r="B17" s="16">
        <f>40*B14/500</f>
        <v>40</v>
      </c>
      <c r="C17" s="13" t="s">
        <v>25</v>
      </c>
      <c r="D17" s="11" t="s">
        <v>50</v>
      </c>
      <c r="E17" s="15">
        <f>20*E14/500*1.1*1.07</f>
        <v>117.70000000000002</v>
      </c>
      <c r="F17" s="13" t="s">
        <v>25</v>
      </c>
      <c r="G17" s="11" t="s">
        <v>54</v>
      </c>
      <c r="H17" s="16">
        <f>54*H14/500</f>
        <v>54</v>
      </c>
      <c r="I17" s="13" t="s">
        <v>25</v>
      </c>
      <c r="J17" s="11" t="s">
        <v>62</v>
      </c>
      <c r="K17" s="16">
        <f>5*K14/500</f>
        <v>5</v>
      </c>
      <c r="L17" s="13" t="s">
        <v>25</v>
      </c>
      <c r="M17" s="11" t="s">
        <v>49</v>
      </c>
      <c r="N17" s="16">
        <f>520*N14/500</f>
        <v>520</v>
      </c>
      <c r="O17" s="13"/>
      <c r="Q17" s="11" t="s">
        <v>24</v>
      </c>
      <c r="R17" s="16">
        <f>E15</f>
        <v>1765.5000000000005</v>
      </c>
      <c r="S17" s="16" t="s">
        <v>31</v>
      </c>
      <c r="T17" s="13">
        <f>30*R17/1000</f>
        <v>52.965000000000018</v>
      </c>
    </row>
    <row r="18" spans="1:20" x14ac:dyDescent="0.25">
      <c r="A18" s="11" t="s">
        <v>60</v>
      </c>
      <c r="B18" s="16">
        <f>15*B14/500/2</f>
        <v>7.5</v>
      </c>
      <c r="C18" s="13" t="s">
        <v>25</v>
      </c>
      <c r="D18" s="11" t="s">
        <v>46</v>
      </c>
      <c r="E18" s="15">
        <f>80*E14/500*1.1*1.07</f>
        <v>470.80000000000007</v>
      </c>
      <c r="F18" s="13" t="s">
        <v>25</v>
      </c>
      <c r="G18" s="11" t="s">
        <v>61</v>
      </c>
      <c r="H18" s="16">
        <f>H17*1.5</f>
        <v>81</v>
      </c>
      <c r="I18" s="13" t="s">
        <v>25</v>
      </c>
      <c r="J18" s="11" t="s">
        <v>77</v>
      </c>
      <c r="K18" s="16">
        <v>0.5</v>
      </c>
      <c r="L18" s="13" t="s">
        <v>43</v>
      </c>
      <c r="M18" s="11"/>
      <c r="N18" s="16"/>
      <c r="O18" s="13"/>
      <c r="Q18" s="11" t="s">
        <v>32</v>
      </c>
      <c r="R18" s="16">
        <f>E16</f>
        <v>1294.7</v>
      </c>
      <c r="S18" s="16" t="s">
        <v>31</v>
      </c>
      <c r="T18" s="13">
        <f>80*R18/1000</f>
        <v>103.57599999999999</v>
      </c>
    </row>
    <row r="19" spans="1:20" x14ac:dyDescent="0.25">
      <c r="A19" s="11" t="s">
        <v>64</v>
      </c>
      <c r="B19" s="16" t="s">
        <v>65</v>
      </c>
      <c r="C19" s="13"/>
      <c r="D19" s="11" t="s">
        <v>62</v>
      </c>
      <c r="E19" s="15">
        <f>5*E14/500*1.1*1.07</f>
        <v>29.425000000000004</v>
      </c>
      <c r="F19" s="13" t="s">
        <v>25</v>
      </c>
      <c r="G19" s="11" t="s">
        <v>59</v>
      </c>
      <c r="H19" s="16">
        <v>0.5</v>
      </c>
      <c r="I19" s="13" t="s">
        <v>66</v>
      </c>
      <c r="J19" s="11"/>
      <c r="K19" s="16"/>
      <c r="L19" s="13"/>
      <c r="M19" s="11"/>
      <c r="N19" s="16"/>
      <c r="O19" s="13"/>
      <c r="Q19" s="11" t="s">
        <v>50</v>
      </c>
      <c r="R19" s="16">
        <f>(E17)*2</f>
        <v>235.40000000000003</v>
      </c>
      <c r="S19" s="16" t="s">
        <v>31</v>
      </c>
      <c r="T19" s="13">
        <f>R19*200/1000</f>
        <v>47.080000000000005</v>
      </c>
    </row>
    <row r="20" spans="1:20" x14ac:dyDescent="0.25">
      <c r="A20" s="11"/>
      <c r="B20" s="16"/>
      <c r="C20" s="13"/>
      <c r="D20" s="11" t="s">
        <v>59</v>
      </c>
      <c r="E20" s="15">
        <f>E14*0.5/500*1.1*1.07</f>
        <v>2.9425000000000003</v>
      </c>
      <c r="F20" s="13" t="s">
        <v>67</v>
      </c>
      <c r="G20" s="11" t="s">
        <v>68</v>
      </c>
      <c r="H20" s="16">
        <v>1</v>
      </c>
      <c r="I20" s="13" t="s">
        <v>43</v>
      </c>
      <c r="J20" s="11" t="s">
        <v>64</v>
      </c>
      <c r="K20" s="16" t="s">
        <v>78</v>
      </c>
      <c r="L20" s="13"/>
      <c r="M20" s="11"/>
      <c r="N20" s="16"/>
      <c r="O20" s="13"/>
      <c r="Q20" s="11" t="s">
        <v>79</v>
      </c>
      <c r="R20" s="16">
        <f>(E18+K16)*2</f>
        <v>1181.6000000000001</v>
      </c>
      <c r="S20" s="16" t="s">
        <v>31</v>
      </c>
      <c r="T20" s="13">
        <f>40*R20/1000</f>
        <v>47.26400000000001</v>
      </c>
    </row>
    <row r="21" spans="1:20" x14ac:dyDescent="0.25">
      <c r="A21" s="11"/>
      <c r="B21" s="16"/>
      <c r="C21" s="13"/>
      <c r="D21" s="11" t="s">
        <v>55</v>
      </c>
      <c r="E21" s="15">
        <f>E14*0.5/500*1.1*1.07</f>
        <v>2.9425000000000003</v>
      </c>
      <c r="F21" s="13" t="s">
        <v>69</v>
      </c>
      <c r="G21" s="11" t="s">
        <v>64</v>
      </c>
      <c r="H21" s="16" t="s">
        <v>65</v>
      </c>
      <c r="I21" s="13"/>
      <c r="J21" s="11"/>
      <c r="K21" s="16" t="s">
        <v>80</v>
      </c>
      <c r="L21" s="13"/>
      <c r="M21" s="11"/>
      <c r="N21" s="16"/>
      <c r="O21" s="13"/>
      <c r="Q21" s="11" t="s">
        <v>62</v>
      </c>
      <c r="R21" s="16">
        <f>E19+K17</f>
        <v>34.425000000000004</v>
      </c>
      <c r="S21" s="16" t="s">
        <v>31</v>
      </c>
      <c r="T21" s="13">
        <f>100*R21/1000</f>
        <v>3.4425000000000003</v>
      </c>
    </row>
    <row r="22" spans="1:20" ht="15.75" thickBot="1" x14ac:dyDescent="0.3">
      <c r="A22" s="19"/>
      <c r="B22" s="20"/>
      <c r="C22" s="21"/>
      <c r="D22" s="19" t="s">
        <v>64</v>
      </c>
      <c r="E22" s="20" t="s">
        <v>65</v>
      </c>
      <c r="F22" s="21"/>
      <c r="G22" s="11"/>
      <c r="H22" s="16"/>
      <c r="I22" s="13"/>
      <c r="J22" s="19"/>
      <c r="K22" s="20" t="s">
        <v>65</v>
      </c>
      <c r="L22" s="21"/>
      <c r="M22" s="19"/>
      <c r="N22" s="20"/>
      <c r="O22" s="21"/>
      <c r="Q22" s="11" t="s">
        <v>54</v>
      </c>
      <c r="R22" s="16">
        <f>(H17)*2</f>
        <v>108</v>
      </c>
      <c r="S22" s="16" t="s">
        <v>31</v>
      </c>
      <c r="T22" s="13">
        <f>30*R22/1000</f>
        <v>3.24</v>
      </c>
    </row>
    <row r="23" spans="1:20" ht="15.75" thickBot="1" x14ac:dyDescent="0.3">
      <c r="G23" s="19"/>
      <c r="H23" s="20"/>
      <c r="I23" s="21"/>
      <c r="Q23" s="11" t="s">
        <v>68</v>
      </c>
      <c r="R23" s="16">
        <f>H20</f>
        <v>1</v>
      </c>
      <c r="S23" s="16" t="s">
        <v>43</v>
      </c>
      <c r="T23" s="13">
        <v>0</v>
      </c>
    </row>
    <row r="24" spans="1:20" ht="15.75" thickBot="1" x14ac:dyDescent="0.3">
      <c r="Q24" s="19" t="s">
        <v>75</v>
      </c>
      <c r="R24" s="20">
        <f>N15</f>
        <v>190</v>
      </c>
      <c r="S24" s="20" t="s">
        <v>31</v>
      </c>
      <c r="T24" s="21">
        <f>40*R24/1000</f>
        <v>7.6</v>
      </c>
    </row>
    <row r="25" spans="1:20" x14ac:dyDescent="0.25">
      <c r="T25">
        <f>SUM(T13:T24)</f>
        <v>447.73750000000001</v>
      </c>
    </row>
    <row r="26" spans="1:20" ht="15.75" thickBot="1" x14ac:dyDescent="0.3"/>
    <row r="27" spans="1:20" ht="30" x14ac:dyDescent="0.25">
      <c r="A27" s="25" t="s">
        <v>81</v>
      </c>
      <c r="B27" s="9">
        <f>T25</f>
        <v>447.73750000000001</v>
      </c>
      <c r="Q27" s="26" t="s">
        <v>81</v>
      </c>
      <c r="R27">
        <f>T25</f>
        <v>447.73750000000001</v>
      </c>
    </row>
    <row r="28" spans="1:20" ht="30" x14ac:dyDescent="0.25">
      <c r="A28" s="11" t="s">
        <v>82</v>
      </c>
      <c r="B28" s="13">
        <f>B14+E14+H14+K14+N14</f>
        <v>4500</v>
      </c>
      <c r="Q28" s="26" t="s">
        <v>82</v>
      </c>
      <c r="R28">
        <f>B14+E14+H14+K14+N14</f>
        <v>4500</v>
      </c>
    </row>
    <row r="29" spans="1:20" ht="30" x14ac:dyDescent="0.25">
      <c r="A29" s="11" t="s">
        <v>83</v>
      </c>
      <c r="B29" s="13">
        <f>B28/B27</f>
        <v>10.050531840643234</v>
      </c>
      <c r="Q29" s="26" t="s">
        <v>83</v>
      </c>
      <c r="R29">
        <f>R28/R27</f>
        <v>10.050531840643234</v>
      </c>
    </row>
    <row r="30" spans="1:20" ht="15.75" thickBot="1" x14ac:dyDescent="0.3">
      <c r="A30" s="11" t="s">
        <v>84</v>
      </c>
      <c r="B30" s="13">
        <f>B28/500*20</f>
        <v>180</v>
      </c>
    </row>
    <row r="31" spans="1:20" ht="18.75" x14ac:dyDescent="0.3">
      <c r="A31" s="11" t="s">
        <v>85</v>
      </c>
      <c r="B31" s="13">
        <f>B28/500*15</f>
        <v>135</v>
      </c>
      <c r="D31" s="4" t="s">
        <v>86</v>
      </c>
      <c r="E31" s="5"/>
      <c r="F31" s="6"/>
    </row>
    <row r="32" spans="1:20" x14ac:dyDescent="0.25">
      <c r="A32" s="11" t="s">
        <v>87</v>
      </c>
      <c r="B32" s="13">
        <f>B27+B30+B31</f>
        <v>762.73749999999995</v>
      </c>
      <c r="D32" s="11" t="s">
        <v>21</v>
      </c>
      <c r="E32" s="12">
        <v>2500</v>
      </c>
      <c r="F32" s="14" t="s">
        <v>22</v>
      </c>
    </row>
    <row r="33" spans="1:6" x14ac:dyDescent="0.25">
      <c r="A33" s="11" t="s">
        <v>88</v>
      </c>
      <c r="B33" s="13">
        <f>B32/(B28/500)</f>
        <v>84.748611111111103</v>
      </c>
      <c r="D33" s="11" t="s">
        <v>26</v>
      </c>
      <c r="E33" s="15">
        <f>$B$2*700/1200</f>
        <v>291.66666666666669</v>
      </c>
      <c r="F33" s="14" t="s">
        <v>25</v>
      </c>
    </row>
    <row r="34" spans="1:6" x14ac:dyDescent="0.25">
      <c r="A34" s="11" t="s">
        <v>89</v>
      </c>
      <c r="B34" s="13">
        <f>800/5</f>
        <v>160</v>
      </c>
      <c r="D34" s="11" t="s">
        <v>39</v>
      </c>
      <c r="E34" s="15">
        <f>$B$2*466/1200</f>
        <v>194.16666666666666</v>
      </c>
      <c r="F34" s="14" t="s">
        <v>25</v>
      </c>
    </row>
    <row r="35" spans="1:6" ht="15.75" thickBot="1" x14ac:dyDescent="0.3">
      <c r="A35" s="19" t="s">
        <v>90</v>
      </c>
      <c r="B35" s="21">
        <f>B34-B33</f>
        <v>75.251388888888897</v>
      </c>
      <c r="D35" s="11" t="s">
        <v>33</v>
      </c>
      <c r="E35" s="15">
        <f>$B$2*466/1200</f>
        <v>194.16666666666666</v>
      </c>
      <c r="F35" s="14" t="s">
        <v>25</v>
      </c>
    </row>
    <row r="36" spans="1:6" ht="30.75" thickBot="1" x14ac:dyDescent="0.3">
      <c r="A36" s="27" t="s">
        <v>91</v>
      </c>
      <c r="B36" s="28">
        <f>B35*B28/500</f>
        <v>677.26250000000016</v>
      </c>
      <c r="D36" s="11" t="s">
        <v>92</v>
      </c>
      <c r="E36" s="29">
        <f>$B$2*3/1200</f>
        <v>1.25</v>
      </c>
      <c r="F36" s="14" t="s">
        <v>25</v>
      </c>
    </row>
    <row r="37" spans="1:6" x14ac:dyDescent="0.25">
      <c r="D37" s="11" t="s">
        <v>93</v>
      </c>
      <c r="E37" s="15">
        <v>0</v>
      </c>
      <c r="F37" s="14" t="s">
        <v>25</v>
      </c>
    </row>
    <row r="38" spans="1:6" x14ac:dyDescent="0.25">
      <c r="D38" s="11" t="s">
        <v>94</v>
      </c>
      <c r="E38" s="15">
        <f>$B$2*22/1200</f>
        <v>9.1666666666666661</v>
      </c>
      <c r="F38" s="14" t="s">
        <v>25</v>
      </c>
    </row>
    <row r="39" spans="1:6" x14ac:dyDescent="0.25">
      <c r="D39" s="11" t="s">
        <v>95</v>
      </c>
      <c r="E39" s="15">
        <f>$B$2*38/1200</f>
        <v>15.833333333333334</v>
      </c>
      <c r="F39" s="14" t="s">
        <v>25</v>
      </c>
    </row>
    <row r="40" spans="1:6" ht="15.75" thickBot="1" x14ac:dyDescent="0.3">
      <c r="D40" s="19" t="s">
        <v>32</v>
      </c>
      <c r="E40" s="30">
        <f>$B$2*20/250</f>
        <v>40</v>
      </c>
      <c r="F40" s="22" t="s">
        <v>25</v>
      </c>
    </row>
  </sheetData>
  <mergeCells count="1">
    <mergeCell ref="Q12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2021-08-26T12:55:14Z</dcterms:created>
  <dcterms:modified xsi:type="dcterms:W3CDTF">2021-11-08T14:21:39Z</dcterms:modified>
</cp:coreProperties>
</file>