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wiener/Desktop/"/>
    </mc:Choice>
  </mc:AlternateContent>
  <xr:revisionPtr revIDLastSave="0" documentId="8_{0A9C2B34-BCC4-584A-A6DC-AFB20E43880C}" xr6:coauthVersionLast="43" xr6:coauthVersionMax="43" xr10:uidLastSave="{00000000-0000-0000-0000-000000000000}"/>
  <bookViews>
    <workbookView xWindow="780" yWindow="960" windowWidth="27640" windowHeight="15940" xr2:uid="{6F88EE49-972D-E647-AD5C-6064E65566F1}"/>
  </bookViews>
  <sheets>
    <sheet name="Direct &amp; Indirect Business " sheetId="1" r:id="rId1"/>
  </sheets>
  <externalReferences>
    <externalReference r:id="rId2"/>
  </externalReferences>
  <definedNames>
    <definedName name="Z_4A306265_FE36_4119_AF8A_153274A35016_.wvu.FilterData" localSheetId="0" hidden="1">'Direct &amp; Indirect Business '!$A$16:$I$59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6" i="1"/>
  <c r="B7" i="1"/>
  <c r="C135" i="1" s="1"/>
  <c r="B8" i="1"/>
  <c r="B9" i="1"/>
  <c r="B180" i="1" s="1"/>
  <c r="B182" i="1" s="1"/>
  <c r="B10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B513" i="1"/>
  <c r="B518" i="1"/>
  <c r="B519" i="1"/>
  <c r="B68" i="1"/>
  <c r="B71" i="1"/>
  <c r="B74" i="1"/>
  <c r="B85" i="1"/>
  <c r="B86" i="1" s="1"/>
  <c r="B94" i="1"/>
  <c r="B119" i="1"/>
  <c r="C124" i="1"/>
  <c r="D124" i="1" s="1"/>
  <c r="B135" i="1"/>
  <c r="E135" i="1"/>
  <c r="F135" i="1"/>
  <c r="B178" i="1"/>
  <c r="B188" i="1"/>
  <c r="B200" i="1"/>
  <c r="B217" i="1"/>
  <c r="B222" i="1"/>
  <c r="B225" i="1" s="1"/>
  <c r="B226" i="1" s="1"/>
  <c r="B227" i="1" s="1"/>
  <c r="B228" i="1" s="1"/>
  <c r="C232" i="1"/>
  <c r="D232" i="1" s="1"/>
  <c r="E232" i="1" s="1"/>
  <c r="F232" i="1" s="1"/>
  <c r="D256" i="1"/>
  <c r="D257" i="1" s="1"/>
  <c r="B282" i="1"/>
  <c r="B283" i="1" s="1"/>
  <c r="B295" i="1" s="1"/>
  <c r="B284" i="1"/>
  <c r="C299" i="1"/>
  <c r="D299" i="1" s="1"/>
  <c r="B323" i="1"/>
  <c r="B324" i="1" s="1"/>
  <c r="C323" i="1"/>
  <c r="C324" i="1" s="1"/>
  <c r="F323" i="1"/>
  <c r="F324" i="1" s="1"/>
  <c r="C331" i="1"/>
  <c r="D331" i="1" s="1"/>
  <c r="D341" i="1"/>
  <c r="E341" i="1"/>
  <c r="E342" i="1" s="1"/>
  <c r="H341" i="1"/>
  <c r="H342" i="1" s="1"/>
  <c r="L341" i="1"/>
  <c r="M341" i="1"/>
  <c r="M342" i="1" s="1"/>
  <c r="P341" i="1"/>
  <c r="P342" i="1" s="1"/>
  <c r="T341" i="1"/>
  <c r="T342" i="1" s="1"/>
  <c r="U341" i="1"/>
  <c r="D342" i="1"/>
  <c r="L342" i="1"/>
  <c r="U342" i="1"/>
  <c r="C364" i="1"/>
  <c r="D364" i="1" s="1"/>
  <c r="E364" i="1" s="1"/>
  <c r="F364" i="1" s="1"/>
  <c r="E378" i="1"/>
  <c r="E379" i="1" s="1"/>
  <c r="F378" i="1"/>
  <c r="F379" i="1" s="1"/>
  <c r="F380" i="1" s="1"/>
  <c r="B408" i="1"/>
  <c r="B409" i="1" s="1"/>
  <c r="B456" i="1"/>
  <c r="B468" i="1"/>
  <c r="B479" i="1"/>
  <c r="B480" i="1"/>
  <c r="B482" i="1"/>
  <c r="B483" i="1"/>
  <c r="B484" i="1"/>
  <c r="B502" i="1"/>
  <c r="B503" i="1"/>
  <c r="B528" i="1"/>
  <c r="B533" i="1"/>
  <c r="B535" i="1" s="1"/>
  <c r="B537" i="1" s="1"/>
  <c r="B539" i="1" s="1"/>
  <c r="B541" i="1" s="1"/>
  <c r="B325" i="1" l="1"/>
  <c r="B136" i="1"/>
  <c r="B378" i="1"/>
  <c r="B379" i="1" s="1"/>
  <c r="B380" i="1" s="1"/>
  <c r="Q341" i="1"/>
  <c r="Q342" i="1" s="1"/>
  <c r="I341" i="1"/>
  <c r="I342" i="1" s="1"/>
  <c r="C256" i="1"/>
  <c r="C257" i="1" s="1"/>
  <c r="C258" i="1" s="1"/>
  <c r="D378" i="1"/>
  <c r="D379" i="1" s="1"/>
  <c r="B359" i="1"/>
  <c r="B360" i="1" s="1"/>
  <c r="B361" i="1" s="1"/>
  <c r="S341" i="1"/>
  <c r="S342" i="1" s="1"/>
  <c r="O341" i="1"/>
  <c r="O342" i="1" s="1"/>
  <c r="K341" i="1"/>
  <c r="K342" i="1" s="1"/>
  <c r="G341" i="1"/>
  <c r="G342" i="1" s="1"/>
  <c r="C341" i="1"/>
  <c r="C342" i="1" s="1"/>
  <c r="E323" i="1"/>
  <c r="E324" i="1" s="1"/>
  <c r="F256" i="1"/>
  <c r="F257" i="1" s="1"/>
  <c r="F258" i="1" s="1"/>
  <c r="B256" i="1"/>
  <c r="B257" i="1" s="1"/>
  <c r="B201" i="1"/>
  <c r="B202" i="1" s="1"/>
  <c r="B203" i="1" s="1"/>
  <c r="B179" i="1"/>
  <c r="B181" i="1" s="1"/>
  <c r="B183" i="1" s="1"/>
  <c r="D135" i="1"/>
  <c r="D136" i="1" s="1"/>
  <c r="B120" i="1"/>
  <c r="B121" i="1" s="1"/>
  <c r="B13" i="1"/>
  <c r="B504" i="1"/>
  <c r="B505" i="1" s="1"/>
  <c r="B506" i="1" s="1"/>
  <c r="B440" i="1"/>
  <c r="B441" i="1" s="1"/>
  <c r="B442" i="1" s="1"/>
  <c r="C378" i="1"/>
  <c r="C379" i="1" s="1"/>
  <c r="C380" i="1" s="1"/>
  <c r="R341" i="1"/>
  <c r="R342" i="1" s="1"/>
  <c r="N341" i="1"/>
  <c r="N342" i="1" s="1"/>
  <c r="J341" i="1"/>
  <c r="J342" i="1" s="1"/>
  <c r="F341" i="1"/>
  <c r="F342" i="1" s="1"/>
  <c r="B341" i="1"/>
  <c r="B342" i="1" s="1"/>
  <c r="B343" i="1" s="1"/>
  <c r="D323" i="1"/>
  <c r="D324" i="1" s="1"/>
  <c r="D325" i="1" s="1"/>
  <c r="B294" i="1"/>
  <c r="B272" i="1"/>
  <c r="B273" i="1" s="1"/>
  <c r="E256" i="1"/>
  <c r="E257" i="1" s="1"/>
  <c r="E258" i="1" s="1"/>
  <c r="B144" i="1"/>
  <c r="B145" i="1" s="1"/>
  <c r="D380" i="1"/>
  <c r="B486" i="1"/>
  <c r="B487" i="1" s="1"/>
  <c r="B488" i="1" s="1"/>
  <c r="C343" i="1"/>
  <c r="C325" i="1"/>
  <c r="E380" i="1"/>
  <c r="C136" i="1"/>
  <c r="E331" i="1"/>
  <c r="D343" i="1"/>
  <c r="E299" i="1"/>
  <c r="F299" i="1" s="1"/>
  <c r="F325" i="1" s="1"/>
  <c r="B258" i="1"/>
  <c r="E124" i="1"/>
  <c r="D258" i="1"/>
  <c r="B410" i="1"/>
  <c r="B326" i="1"/>
  <c r="B327" i="1" s="1"/>
  <c r="B146" i="1"/>
  <c r="B122" i="1"/>
  <c r="B137" i="1"/>
  <c r="B138" i="1" s="1"/>
  <c r="B87" i="1"/>
  <c r="B290" i="1"/>
  <c r="B274" i="1"/>
  <c r="B345" i="1" l="1"/>
  <c r="B383" i="1"/>
  <c r="B260" i="1"/>
  <c r="B381" i="1"/>
  <c r="B382" i="1" s="1"/>
  <c r="B259" i="1"/>
  <c r="B344" i="1"/>
  <c r="E325" i="1"/>
  <c r="B328" i="1" s="1"/>
  <c r="B261" i="1"/>
  <c r="F331" i="1"/>
  <c r="E343" i="1"/>
  <c r="B292" i="1"/>
  <c r="B291" i="1" s="1"/>
  <c r="B293" i="1"/>
  <c r="B296" i="1" s="1"/>
  <c r="E136" i="1"/>
  <c r="F124" i="1"/>
  <c r="F136" i="1" s="1"/>
  <c r="B139" i="1" l="1"/>
  <c r="F343" i="1"/>
  <c r="G331" i="1"/>
  <c r="G343" i="1" l="1"/>
  <c r="H331" i="1"/>
  <c r="I331" i="1" l="1"/>
  <c r="H343" i="1"/>
  <c r="J331" i="1" l="1"/>
  <c r="I343" i="1"/>
  <c r="J343" i="1" l="1"/>
  <c r="K331" i="1"/>
  <c r="K343" i="1" l="1"/>
  <c r="L331" i="1"/>
  <c r="M331" i="1" l="1"/>
  <c r="L343" i="1"/>
  <c r="N331" i="1" l="1"/>
  <c r="M343" i="1"/>
  <c r="N343" i="1" l="1"/>
  <c r="O331" i="1"/>
  <c r="O343" i="1" l="1"/>
  <c r="P331" i="1"/>
  <c r="Q331" i="1" l="1"/>
  <c r="P343" i="1"/>
  <c r="R331" i="1" l="1"/>
  <c r="Q343" i="1"/>
  <c r="R343" i="1" l="1"/>
  <c r="S331" i="1"/>
  <c r="S343" i="1" l="1"/>
  <c r="T331" i="1"/>
  <c r="U331" i="1" l="1"/>
  <c r="U343" i="1" s="1"/>
  <c r="T343" i="1"/>
  <c r="B346" i="1" l="1"/>
</calcChain>
</file>

<file path=xl/sharedStrings.xml><?xml version="1.0" encoding="utf-8"?>
<sst xmlns="http://schemas.openxmlformats.org/spreadsheetml/2006/main" count="905" uniqueCount="348">
  <si>
    <t>Total Revenue (Direct &amp; Indirect)</t>
  </si>
  <si>
    <t>Total Annual Indirect Revenue for Program</t>
  </si>
  <si>
    <t>Percent of Indirect Revenue Actual Being Achieved</t>
  </si>
  <si>
    <t>Total Indirect Revenue</t>
  </si>
  <si>
    <t>What is your gross profit margin for this opportunity?</t>
  </si>
  <si>
    <t>Price per Card (Bought up front)</t>
  </si>
  <si>
    <t># of Gas Cards (Bought by COTA)</t>
  </si>
  <si>
    <t>Percent of Employees in Program</t>
  </si>
  <si>
    <t># of COTA Employees</t>
  </si>
  <si>
    <t>Gas Cards for COTA Ees</t>
  </si>
  <si>
    <t>Please add a brief description of referral opportunity 1</t>
  </si>
  <si>
    <t>Total Pass-Thru Revenue</t>
  </si>
  <si>
    <t>Per Store Partnership- That Chevron can claw back</t>
  </si>
  <si>
    <t>Yes</t>
  </si>
  <si>
    <t>Will retailer get rights to official (non exclsuvie) gasoline station outside of Texas area</t>
  </si>
  <si>
    <t>How many average stores does retailer own</t>
  </si>
  <si>
    <t># of Retailers in Program</t>
  </si>
  <si>
    <t>Pass Thru Rights-Non Exclusive Other Retailers Nation wide</t>
  </si>
  <si>
    <t>Please add a brief description of referral opportunity 2</t>
  </si>
  <si>
    <t>Are there indirect business opportunities not related to this property as a results of this deal?</t>
  </si>
  <si>
    <t>Indirect Business - Inputs</t>
  </si>
  <si>
    <t>Present Value over the life of the deal (Net Revenue)</t>
  </si>
  <si>
    <t>Total Annual Revenue (Net Revenue)</t>
  </si>
  <si>
    <t>Total Annual Revenue (Gross Revenue)</t>
  </si>
  <si>
    <t>Annual revenue - Group Trips</t>
  </si>
  <si>
    <t>Annual revenue - Individual Trips</t>
  </si>
  <si>
    <t>Average room rate for group trips</t>
  </si>
  <si>
    <t>Average room rate for individual trips</t>
  </si>
  <si>
    <t>Group trip</t>
  </si>
  <si>
    <t>Individual trip</t>
  </si>
  <si>
    <t>Average nights needed</t>
  </si>
  <si>
    <t>Group Trips (4+ people)</t>
  </si>
  <si>
    <t>Individual Trips (&lt;4 people)</t>
  </si>
  <si>
    <t>How many nights per year does the property require hotel rooms?</t>
  </si>
  <si>
    <t>Travel &amp; Leisure</t>
  </si>
  <si>
    <t>Group Trips - Bus</t>
  </si>
  <si>
    <t>Group Trips - Rideshare</t>
  </si>
  <si>
    <t>Group Trips - Cars</t>
  </si>
  <si>
    <t>Individual Trips - Rideshare</t>
  </si>
  <si>
    <t>Individual Trips - Cars</t>
  </si>
  <si>
    <t>Annual Revenue</t>
  </si>
  <si>
    <t>When bus transportation is used, what is the average cost per day?</t>
  </si>
  <si>
    <t>What is the average revenue per rideshare trip?</t>
  </si>
  <si>
    <t>When ridehare is used, what is the average number of trips per day?</t>
  </si>
  <si>
    <t>What is the average daily rate per car needed for group trip?</t>
  </si>
  <si>
    <t>When cars are rentred for group trips, how many are usually needed per group trips?</t>
  </si>
  <si>
    <t>What % of group trips does the property rely on other transportation for?</t>
  </si>
  <si>
    <t>What % of group trips does the property use bus transportation for?</t>
  </si>
  <si>
    <t>What % of group trips does the property rely on rideshare for?</t>
  </si>
  <si>
    <t>What % of group trips does the property rent cars for?</t>
  </si>
  <si>
    <t>Group Trips - Transportation Method</t>
  </si>
  <si>
    <t>What is the average daily rate per car needed for individual trips?</t>
  </si>
  <si>
    <t>When cars are rentred for individual trips, how many are usually needed per trip?</t>
  </si>
  <si>
    <t>What % of individual trips does the property rely on other transportation for?</t>
  </si>
  <si>
    <t>What % of individual trips does the property rely on rideshare for?</t>
  </si>
  <si>
    <t>What % of individual trips does the property rent cars for?</t>
  </si>
  <si>
    <t>Individual Trips - Transportation Method</t>
  </si>
  <si>
    <t>Average length of a trip (days)</t>
  </si>
  <si>
    <t>Note: if this number is zero, only show Individual trip in software</t>
  </si>
  <si>
    <t>Note: if this number is zero, only show group trip in software</t>
  </si>
  <si>
    <t>Note: if both individual and group are zero, then no impact</t>
  </si>
  <si>
    <t>How many trips per year does the property take that require ground transportation?</t>
  </si>
  <si>
    <t>Transportation</t>
  </si>
  <si>
    <t>Present value over the life of the deal (Net Revenue)</t>
  </si>
  <si>
    <t>Annual Revenue (Net Revenue)</t>
  </si>
  <si>
    <t>Annual Revenue (Gross Revenue)</t>
  </si>
  <si>
    <t>Fill in: (Type 10)</t>
  </si>
  <si>
    <t>Fill in: (Type 9)</t>
  </si>
  <si>
    <t>Fill in: (Type 8)</t>
  </si>
  <si>
    <t>Fill in: (Type 7)</t>
  </si>
  <si>
    <t>Fill in: (Type 6)</t>
  </si>
  <si>
    <t>Fill in: (Type 5)</t>
  </si>
  <si>
    <t>Fill in: (Type 4)</t>
  </si>
  <si>
    <t>Fill in: (Type 3)</t>
  </si>
  <si>
    <t>Fill in: (Type 2)</t>
  </si>
  <si>
    <t>Fill in: (Type 1)</t>
  </si>
  <si>
    <t>Cost per set of tires</t>
  </si>
  <si>
    <t>How many vehicles do you have in your fleet?</t>
  </si>
  <si>
    <t>In a given year, what % of your fleet needs new tires?</t>
  </si>
  <si>
    <t>*If no, ignore the rest of the questions. No direct business opportunity</t>
  </si>
  <si>
    <t>Do you have a fleet of vehicles requiring tires?</t>
  </si>
  <si>
    <t>Tires</t>
  </si>
  <si>
    <t>Dinner</t>
  </si>
  <si>
    <t>Lunch</t>
  </si>
  <si>
    <t>Breakfast</t>
  </si>
  <si>
    <t>What is the average price per person be for a meal?</t>
  </si>
  <si>
    <t xml:space="preserve">Breakfast </t>
  </si>
  <si>
    <t>Average # of attendees per event</t>
  </si>
  <si>
    <t>This is the number of events per month your restaurant could cater.</t>
  </si>
  <si>
    <t>How do the events break out between breakfast/lunch/dinner?</t>
  </si>
  <si>
    <t>What percent of those events could your restaurant provide the food for?</t>
  </si>
  <si>
    <t>How many events per month do you host that require food to be served?</t>
  </si>
  <si>
    <t>Restaurant</t>
  </si>
  <si>
    <t>Total Present value over the life of the deal (Net Revenue)</t>
  </si>
  <si>
    <t>Total Annual revenue (Net Revenue)</t>
  </si>
  <si>
    <t>Present Value of Annual Flooring Purchase (Net Revenue)</t>
  </si>
  <si>
    <t>Annual Flooring Purchase (Net Revenue)</t>
  </si>
  <si>
    <t>Annual Flooring Purchase (Gross Revenue)</t>
  </si>
  <si>
    <t>Fill in: (Category 5)</t>
  </si>
  <si>
    <t>Fill in: (Category 4)</t>
  </si>
  <si>
    <t>Fill in: (Category 3)</t>
  </si>
  <si>
    <t>Fill in: (Category 2)</t>
  </si>
  <si>
    <t>Fill in: (Category 1)</t>
  </si>
  <si>
    <t>Price per Unit</t>
  </si>
  <si>
    <t>Equipment Needed</t>
  </si>
  <si>
    <t>Year</t>
  </si>
  <si>
    <t>Precision Equipment</t>
  </si>
  <si>
    <t>Fill in: Category 3</t>
  </si>
  <si>
    <t>Fill in: Category 2</t>
  </si>
  <si>
    <t>Fill in: Category 1</t>
  </si>
  <si>
    <t>Hourly rate</t>
  </si>
  <si>
    <t>Hours required/month</t>
  </si>
  <si>
    <t>Services/Personal Services</t>
  </si>
  <si>
    <t>Total Present Value over the life of the deal (Net Revenue)</t>
  </si>
  <si>
    <t>Total Annual Direct Business Opportunity (Net Revenue)</t>
  </si>
  <si>
    <t>Total Annual Direct Business Opportunity (Gross Revenue)</t>
  </si>
  <si>
    <t>Present Value of Annual Premiums (Net Revenue)</t>
  </si>
  <si>
    <t>Total Annual Premiums (Net Revenue)</t>
  </si>
  <si>
    <t>Total Annual Premiums (Gross Revenue)</t>
  </si>
  <si>
    <t># Subscribers</t>
  </si>
  <si>
    <t>Monthly Premium/Subscriber</t>
  </si>
  <si>
    <t>Insurance</t>
  </si>
  <si>
    <t>Total Present value over the life of the deal</t>
  </si>
  <si>
    <t>Fill in: Area type 10</t>
  </si>
  <si>
    <t>Fill in: Area type 9</t>
  </si>
  <si>
    <t>Fill in: Area type 8</t>
  </si>
  <si>
    <t>Fill in: Area type 7</t>
  </si>
  <si>
    <t>Fill in: Area type 6</t>
  </si>
  <si>
    <t>Fill in: Area type 5</t>
  </si>
  <si>
    <t>Fill in: Area type 4</t>
  </si>
  <si>
    <t>Fill in: Area type 3</t>
  </si>
  <si>
    <t>Fill in: Area type 2</t>
  </si>
  <si>
    <t>Fill in: Area type 1</t>
  </si>
  <si>
    <t>Price per square foot</t>
  </si>
  <si>
    <t>Gross Square Footage</t>
  </si>
  <si>
    <t>Flooring and Services</t>
  </si>
  <si>
    <t>Total Present Value over the life of the deal (loans + wealth management)</t>
  </si>
  <si>
    <t>Total Annual Value over the life of the deal (loans + wealth management, Net Revenue)</t>
  </si>
  <si>
    <t>Total Annual Value over the life of the deal (loans + wealth management, Gross Revenue)</t>
  </si>
  <si>
    <t>This is the total amount of management fees received over the course of the deal (Net Revenue)</t>
  </si>
  <si>
    <t>This is the total amount of management fees received over the course of the deal (Gross Revenue)</t>
  </si>
  <si>
    <t>Pre-populates from initial questions</t>
  </si>
  <si>
    <t>Deal length</t>
  </si>
  <si>
    <t>What is your management fee?</t>
  </si>
  <si>
    <t>What is the average portfolio growth rate?</t>
  </si>
  <si>
    <t>What is the amount of committed Assets Under Management (AUM)?</t>
  </si>
  <si>
    <t>If no, skip to total impact.</t>
  </si>
  <si>
    <t>Is there a wealth management opportunity?</t>
  </si>
  <si>
    <t>This is the total amount of the interest payments received over the course of the loan. (Net Revenue)</t>
  </si>
  <si>
    <t>This is the total amount of the interest payments received over the course of the loan. (Gross Revenue)</t>
  </si>
  <si>
    <t>How many months is the term of the loan?</t>
  </si>
  <si>
    <t>What is the annual interest rate?</t>
  </si>
  <si>
    <t>What is the monthly payment?</t>
  </si>
  <si>
    <t>What is the loan amount?</t>
  </si>
  <si>
    <t>If no, skip to wealth management.</t>
  </si>
  <si>
    <t>Is there a need for a loan?</t>
  </si>
  <si>
    <t>FInancial Services (Loans/Wealth Management) - See Loan Amortization table (Direct Business Supporting Models, cell A3) and Wealth Management Table (Direct Business Supporting Models, cell A367)</t>
  </si>
  <si>
    <t>Present Value over the life of the deal</t>
  </si>
  <si>
    <t>Waste</t>
  </si>
  <si>
    <t>Telecom</t>
  </si>
  <si>
    <t>Internet</t>
  </si>
  <si>
    <t>Oil/gas</t>
  </si>
  <si>
    <t>Solar</t>
  </si>
  <si>
    <t>Electric</t>
  </si>
  <si>
    <t>What is the average monthly utility bill for a property this size for the following:</t>
  </si>
  <si>
    <t>What is the upfront cost associated with installation of any hardware (i.e. solar panels)?</t>
  </si>
  <si>
    <t>Energy/Utilities/Telecom/Internet</t>
  </si>
  <si>
    <t>Present Value of annual appliance purchases (Net Revenue)</t>
  </si>
  <si>
    <t>Annual value of appliance purchase/upgrade (Net Revenue)</t>
  </si>
  <si>
    <t>Annual value of appliance purchase/upgrade (Gross Revenue)</t>
  </si>
  <si>
    <t>Fill in: (SKU 10)</t>
  </si>
  <si>
    <t>Fill in: (SKU 9)</t>
  </si>
  <si>
    <t>Fill in: (SKU 8)</t>
  </si>
  <si>
    <t>Fill in: (SKU 7)</t>
  </si>
  <si>
    <t>Fill in: (SKU 6)</t>
  </si>
  <si>
    <t>Fill in: (SKU 5)</t>
  </si>
  <si>
    <t>Fill in: (SKU 4)</t>
  </si>
  <si>
    <t>Fill in: (SKU 3)</t>
  </si>
  <si>
    <t>Fill in: (SKU 2)</t>
  </si>
  <si>
    <t>Fill in: (SKU 1)</t>
  </si>
  <si>
    <t>What is the wholesale price per SKU?</t>
  </si>
  <si>
    <t>How many of the relevant SKUs would be needed?</t>
  </si>
  <si>
    <t>Electrical Appliances</t>
  </si>
  <si>
    <t>Total monthly transaction fees</t>
  </si>
  <si>
    <t>Transaction fee - fixed per transaction</t>
  </si>
  <si>
    <t>Transaction fee -  % commission</t>
  </si>
  <si>
    <t>Average monthly transaction volume ($)</t>
  </si>
  <si>
    <t>Average transaction size ($)</t>
  </si>
  <si>
    <t>Average monthly transaction volume (#)</t>
  </si>
  <si>
    <t>*If no, then ignore the next qeustions.</t>
  </si>
  <si>
    <t>Does your brand take transaction fees?</t>
  </si>
  <si>
    <t>Total fixed monthly fee</t>
  </si>
  <si>
    <t>Fill In: (Product 10)</t>
  </si>
  <si>
    <t>Fill In: (Product 9)</t>
  </si>
  <si>
    <t>Fill In: (Product 8)</t>
  </si>
  <si>
    <t>Fill In: (Product 7)</t>
  </si>
  <si>
    <t>Fill In: (Product 6)</t>
  </si>
  <si>
    <t>Fill In: (Product 5)</t>
  </si>
  <si>
    <t>Fill In: (Product 4)</t>
  </si>
  <si>
    <t>Fill In: (Product 3)</t>
  </si>
  <si>
    <t>Fill In: (Product 2)</t>
  </si>
  <si>
    <t>Fill In: (Product 1)</t>
  </si>
  <si>
    <t>What is the wholesale fixed monthly price per product relevant to this property?</t>
  </si>
  <si>
    <t>E-Commerce</t>
  </si>
  <si>
    <t>Weighted Average price</t>
  </si>
  <si>
    <t>What is the average revenue per item shipped internationally?</t>
  </si>
  <si>
    <t>What is the average revenue per item shipped nationally?</t>
  </si>
  <si>
    <t>What is the average revenue per item shipped regionally?</t>
  </si>
  <si>
    <t>What is the average revenue per item shipped locally?</t>
  </si>
  <si>
    <t>What percent of this amount is international?</t>
  </si>
  <si>
    <t>What precent of this amount is national?</t>
  </si>
  <si>
    <t>What percent of this amount is regional?</t>
  </si>
  <si>
    <t>What percent of this amount is local?</t>
  </si>
  <si>
    <t>This is the total number of items that could be hanlded by your courier service</t>
  </si>
  <si>
    <t>What percent of this could be handled by your courier service?</t>
  </si>
  <si>
    <t>How many items does the property ship annually?</t>
  </si>
  <si>
    <t>Courier Service</t>
  </si>
  <si>
    <t>Present Value of One off infrastructure/venue upgrade (Net)</t>
  </si>
  <si>
    <t>Total Annual Direct Business Opportunity (Net)</t>
  </si>
  <si>
    <t>Present Value of One off infrastructure/venue upgrade (Gross)</t>
  </si>
  <si>
    <t>Total Annual Direct Business Opportunity (Gross)</t>
  </si>
  <si>
    <t>SKU 10</t>
  </si>
  <si>
    <t>SKU 9</t>
  </si>
  <si>
    <t>SKU 8</t>
  </si>
  <si>
    <t>SKU 7</t>
  </si>
  <si>
    <t>SKU 6</t>
  </si>
  <si>
    <t>SKU 5</t>
  </si>
  <si>
    <t>SKU 4</t>
  </si>
  <si>
    <t>SKU 3</t>
  </si>
  <si>
    <t>SKU 2</t>
  </si>
  <si>
    <t>SKU 1</t>
  </si>
  <si>
    <t>What is the proportional split of consumption by SKU?</t>
  </si>
  <si>
    <t>What is the wholesale price per SKU (i.e. laptop, cell phone, telephone, audio.)?</t>
  </si>
  <si>
    <t>How many of these users would need new product(s) annually?</t>
  </si>
  <si>
    <t>How many employees that would use your product(s) does the property have?</t>
  </si>
  <si>
    <t>How many years from now would the upgrade take place?</t>
  </si>
  <si>
    <t>What is the estimated value of all infrastructure upgrades?</t>
  </si>
  <si>
    <t>Is there a need for venue infrastructure upgrade (i.e. sound, video?)</t>
  </si>
  <si>
    <t>Consumer Electronics</t>
  </si>
  <si>
    <t>What is the average monthly revenue per user?</t>
  </si>
  <si>
    <t>How many users/lines does the direct business opportunity present?</t>
  </si>
  <si>
    <t>Business Technology/Technology</t>
  </si>
  <si>
    <t>Present Value of annual appliance purchases</t>
  </si>
  <si>
    <t>Annual automotive revenue</t>
  </si>
  <si>
    <t>Fill in: (Tier 4) Cost/Car</t>
  </si>
  <si>
    <t>Fill in: (Tier 3) Cost/Car</t>
  </si>
  <si>
    <t>Fill in: (Tier 2) Cost/Car</t>
  </si>
  <si>
    <t>Fill in: (Tier 1) Cost/Car</t>
  </si>
  <si>
    <t>Fleet cars needed - Fill in: Tier 4</t>
  </si>
  <si>
    <t>Fleet cars needed - Fill in: Tier 3</t>
  </si>
  <si>
    <t>Fleet cars needed - Fill in: Tier 2</t>
  </si>
  <si>
    <t>Fleet cars needed - Fill in: Tier 1</t>
  </si>
  <si>
    <t>Automotive</t>
  </si>
  <si>
    <t>What is the wholesale price per SKU (i.e. keg, case, syrup, bottle, etc.)?</t>
  </si>
  <si>
    <t>This is the total # of products consumed per year</t>
  </si>
  <si>
    <t>Among those consuming your product, what is the average number of products purchased?</t>
  </si>
  <si>
    <t>What % of visitors purchase your product per day?</t>
  </si>
  <si>
    <t>What is the average attendance/foot traffic per day?</t>
  </si>
  <si>
    <t>How many days per year can the property sell your product?</t>
  </si>
  <si>
    <t>Durables and Consumables - Beverage (alcoholic and non-alcoholic), CPG, Snacks, Food Products</t>
  </si>
  <si>
    <t>Economy Class</t>
  </si>
  <si>
    <t>First/Business Class</t>
  </si>
  <si>
    <t>What is your average international airfare departing from the nearest major airport to the property?</t>
  </si>
  <si>
    <t>What is your average domestic airfare departing from the nearest major airport to the property?</t>
  </si>
  <si>
    <t>% of international flights that are Economy class</t>
  </si>
  <si>
    <t>% of international flights that are First/Business class</t>
  </si>
  <si>
    <t>% of domestic flights that are Economy class</t>
  </si>
  <si>
    <t>% of domestic flights that are First/Business class</t>
  </si>
  <si>
    <t>What % of these are international?</t>
  </si>
  <si>
    <t>What % of these are domestic?</t>
  </si>
  <si>
    <t>What % of thes flights could the property fly with your airline?</t>
  </si>
  <si>
    <t>How many flights per year does the property book?</t>
  </si>
  <si>
    <t>Airlines</t>
  </si>
  <si>
    <t>Annual Revenue from Oil &amp; Gas</t>
  </si>
  <si>
    <t>Will retailer get rights to official gasoline station in Texas area</t>
  </si>
  <si>
    <t>How many stores does retailer own</t>
  </si>
  <si>
    <t>Is there pass-thru rights with Retailer</t>
  </si>
  <si>
    <t>Total Revenue</t>
  </si>
  <si>
    <t>What is the average price</t>
  </si>
  <si>
    <t>How many gallons of Gas annually</t>
  </si>
  <si>
    <t>Direct Business - Inputs</t>
  </si>
  <si>
    <t>OIL &amp; GAS</t>
  </si>
  <si>
    <t>Other (Custom Model Template)</t>
  </si>
  <si>
    <t>No</t>
  </si>
  <si>
    <t>Utilities</t>
  </si>
  <si>
    <t>Snacks</t>
  </si>
  <si>
    <t>Indirect</t>
  </si>
  <si>
    <t>NO</t>
  </si>
  <si>
    <t>Retail</t>
  </si>
  <si>
    <t>Real Estate</t>
  </si>
  <si>
    <t>QSR (onsite marketing)</t>
  </si>
  <si>
    <t>Publishing</t>
  </si>
  <si>
    <t>Oil &amp; Gas</t>
  </si>
  <si>
    <t>Non-Alcoholic Beverage</t>
  </si>
  <si>
    <t>Media &amp; Entertainment</t>
  </si>
  <si>
    <t>Health Club &amp; Fitness</t>
  </si>
  <si>
    <t>Healthcare Facilities</t>
  </si>
  <si>
    <t>Technology</t>
  </si>
  <si>
    <t>Government/Military</t>
  </si>
  <si>
    <t>PC Games</t>
  </si>
  <si>
    <t>Footwear</t>
  </si>
  <si>
    <t>Food Products</t>
  </si>
  <si>
    <t>Flooring &amp; Services</t>
  </si>
  <si>
    <t>Financial Services - Retail</t>
  </si>
  <si>
    <t>Financial Services</t>
  </si>
  <si>
    <t>Energy</t>
  </si>
  <si>
    <t>Electric Appliances</t>
  </si>
  <si>
    <t>Education</t>
  </si>
  <si>
    <t>Durable Goods</t>
  </si>
  <si>
    <t>Want database for the ones we've completed -Ian/Sean to help (marketing file)</t>
  </si>
  <si>
    <t>Create tab of all brands we've done this for so we can track</t>
  </si>
  <si>
    <t>CPG</t>
  </si>
  <si>
    <t>Cosmetics</t>
  </si>
  <si>
    <t>Business Technology (products)</t>
  </si>
  <si>
    <t>Biotechnology</t>
  </si>
  <si>
    <t>Alcoholic Beverage</t>
  </si>
  <si>
    <t>Accounting &amp; Tax</t>
  </si>
  <si>
    <t>Annual Direct Business Opportunity (Net Revenue)</t>
  </si>
  <si>
    <t>Annual Direct Business Opportunity (Gross Revenue)</t>
  </si>
  <si>
    <t>Present Value over the life of the deal (Net)</t>
  </si>
  <si>
    <t>Celebrity</t>
  </si>
  <si>
    <t>Universities</t>
  </si>
  <si>
    <t>Municipailties</t>
  </si>
  <si>
    <t>Leagues</t>
  </si>
  <si>
    <t>Teams/Jersey</t>
  </si>
  <si>
    <t>E-sports</t>
  </si>
  <si>
    <t>Events/Festivals</t>
  </si>
  <si>
    <t>Arena/Stadium/Entertainment Venue</t>
  </si>
  <si>
    <t>Click a category to link to the model</t>
  </si>
  <si>
    <t>Category/Property Matrix - Yes means direct business opportunity exists, no means there is not a direct business opportunity</t>
  </si>
  <si>
    <t>If yes, then complete the below for the relevant industry.</t>
  </si>
  <si>
    <t>Is there opportunity and access to decision makers?</t>
  </si>
  <si>
    <t>Based on Matrix, is there a direct business opportunity?</t>
  </si>
  <si>
    <t>Links from Non-Media Summary tab</t>
  </si>
  <si>
    <t>What is your gross profit margin?</t>
  </si>
  <si>
    <t>What is your assumed discount rate or Weighted Average Cost of Capital?</t>
  </si>
  <si>
    <t>How many years is the deal?</t>
  </si>
  <si>
    <t>If no, then no direct business opportunity</t>
  </si>
  <si>
    <t>Do you have access to the decision maker for the property?</t>
  </si>
  <si>
    <t>Is the property in a position to form a direct business relationship with your brand for this business category?</t>
  </si>
  <si>
    <t>Oil &amp; Gass</t>
  </si>
  <si>
    <t>What category is your business?</t>
  </si>
  <si>
    <t>What property are you considering partnering with?</t>
  </si>
  <si>
    <t>Answer</t>
  </si>
  <si>
    <t>Question</t>
  </si>
  <si>
    <t>Brand Input</t>
  </si>
  <si>
    <t>Property Input</t>
  </si>
  <si>
    <t>Highlighted Cells Require User Input: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</si>
</sst>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&quot;$&quot;#,##0.0"/>
  </numFmts>
  <fonts count="21">
    <font>
      <sz val="10"/>
      <color rgb="FF000000"/>
      <name val="Arial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rgb="FF000000"/>
      <name val="Roboto"/>
    </font>
    <font>
      <u/>
      <sz val="11"/>
      <color rgb="FF0000FF"/>
      <name val="Calibri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sz val="11"/>
      <color rgb="FF000000"/>
      <name val="Inconsolata"/>
    </font>
    <font>
      <sz val="10"/>
      <color rgb="FF999999"/>
      <name val="Arial"/>
      <family val="2"/>
    </font>
    <font>
      <i/>
      <sz val="10"/>
      <color rgb="FF99999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3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center"/>
    </xf>
    <xf numFmtId="0" fontId="2" fillId="0" borderId="4" xfId="0" applyFont="1" applyBorder="1"/>
    <xf numFmtId="9" fontId="0" fillId="2" borderId="1" xfId="1" applyFont="1" applyFill="1" applyBorder="1" applyAlignment="1">
      <alignment horizontal="center"/>
    </xf>
    <xf numFmtId="0" fontId="4" fillId="0" borderId="2" xfId="0" applyFont="1" applyBorder="1"/>
    <xf numFmtId="164" fontId="0" fillId="0" borderId="1" xfId="0" applyNumberFormat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0" borderId="5" xfId="0" applyNumberFormat="1" applyFont="1" applyBorder="1" applyAlignment="1">
      <alignment horizontal="center"/>
    </xf>
    <xf numFmtId="0" fontId="4" fillId="0" borderId="6" xfId="0" applyFont="1" applyBorder="1"/>
    <xf numFmtId="164" fontId="4" fillId="3" borderId="7" xfId="0" applyNumberFormat="1" applyFont="1" applyFill="1" applyBorder="1" applyAlignment="1">
      <alignment horizontal="center"/>
    </xf>
    <xf numFmtId="0" fontId="4" fillId="0" borderId="8" xfId="0" applyFont="1" applyBorder="1"/>
    <xf numFmtId="0" fontId="4" fillId="0" borderId="7" xfId="0" applyFont="1" applyBorder="1" applyAlignment="1">
      <alignment horizontal="center"/>
    </xf>
    <xf numFmtId="9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0" borderId="10" xfId="0" applyFont="1" applyBorder="1"/>
    <xf numFmtId="164" fontId="5" fillId="0" borderId="5" xfId="0" applyNumberFormat="1" applyFont="1" applyBorder="1" applyAlignment="1">
      <alignment horizontal="center"/>
    </xf>
    <xf numFmtId="0" fontId="5" fillId="0" borderId="4" xfId="0" applyFont="1" applyBorder="1"/>
    <xf numFmtId="164" fontId="5" fillId="2" borderId="7" xfId="0" applyNumberFormat="1" applyFont="1" applyFill="1" applyBorder="1" applyAlignment="1">
      <alignment horizontal="center"/>
    </xf>
    <xf numFmtId="0" fontId="5" fillId="0" borderId="11" xfId="0" applyFont="1" applyBorder="1"/>
    <xf numFmtId="0" fontId="5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3" fontId="6" fillId="5" borderId="7" xfId="0" applyNumberFormat="1" applyFont="1" applyFill="1" applyBorder="1" applyAlignment="1">
      <alignment horizontal="center"/>
    </xf>
    <xf numFmtId="0" fontId="4" fillId="0" borderId="11" xfId="0" applyFont="1" applyBorder="1"/>
    <xf numFmtId="0" fontId="4" fillId="2" borderId="9" xfId="0" applyFont="1" applyFill="1" applyBorder="1"/>
    <xf numFmtId="0" fontId="4" fillId="0" borderId="12" xfId="0" applyFont="1" applyBorder="1"/>
    <xf numFmtId="0" fontId="4" fillId="3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164" fontId="7" fillId="0" borderId="0" xfId="0" applyNumberFormat="1" applyFont="1"/>
    <xf numFmtId="0" fontId="7" fillId="0" borderId="0" xfId="0" applyFont="1"/>
    <xf numFmtId="0" fontId="5" fillId="0" borderId="0" xfId="0" applyFont="1"/>
    <xf numFmtId="164" fontId="5" fillId="0" borderId="0" xfId="0" applyNumberFormat="1" applyFont="1"/>
    <xf numFmtId="164" fontId="5" fillId="6" borderId="0" xfId="0" applyNumberFormat="1" applyFont="1" applyFill="1"/>
    <xf numFmtId="3" fontId="5" fillId="6" borderId="0" xfId="0" applyNumberFormat="1" applyFont="1" applyFill="1"/>
    <xf numFmtId="164" fontId="5" fillId="7" borderId="0" xfId="0" applyNumberFormat="1" applyFont="1" applyFill="1"/>
    <xf numFmtId="9" fontId="5" fillId="7" borderId="0" xfId="0" applyNumberFormat="1" applyFont="1" applyFill="1"/>
    <xf numFmtId="0" fontId="5" fillId="7" borderId="0" xfId="0" applyFont="1" applyFill="1"/>
    <xf numFmtId="0" fontId="8" fillId="0" borderId="0" xfId="0" applyFont="1"/>
    <xf numFmtId="3" fontId="5" fillId="0" borderId="0" xfId="0" applyNumberFormat="1" applyFont="1"/>
    <xf numFmtId="165" fontId="5" fillId="6" borderId="0" xfId="0" applyNumberFormat="1" applyFont="1" applyFill="1"/>
    <xf numFmtId="3" fontId="5" fillId="7" borderId="0" xfId="0" applyNumberFormat="1" applyFont="1" applyFill="1"/>
    <xf numFmtId="9" fontId="5" fillId="6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0" fontId="5" fillId="6" borderId="0" xfId="0" applyFont="1" applyFill="1"/>
    <xf numFmtId="9" fontId="5" fillId="0" borderId="0" xfId="0" applyNumberFormat="1" applyFont="1"/>
    <xf numFmtId="0" fontId="5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3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4" fontId="0" fillId="0" borderId="0" xfId="0" applyNumberFormat="1"/>
    <xf numFmtId="0" fontId="5" fillId="6" borderId="0" xfId="0" applyFont="1" applyFill="1" applyAlignment="1">
      <alignment horizontal="center"/>
    </xf>
    <xf numFmtId="3" fontId="5" fillId="6" borderId="0" xfId="0" applyNumberFormat="1" applyFont="1" applyFill="1" applyAlignment="1">
      <alignment horizontal="center"/>
    </xf>
    <xf numFmtId="0" fontId="9" fillId="0" borderId="0" xfId="0" applyFont="1"/>
    <xf numFmtId="9" fontId="5" fillId="3" borderId="0" xfId="0" applyNumberFormat="1" applyFont="1" applyFill="1"/>
    <xf numFmtId="0" fontId="10" fillId="0" borderId="0" xfId="0" applyFont="1"/>
    <xf numFmtId="10" fontId="5" fillId="3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11" fillId="8" borderId="0" xfId="0" applyFont="1" applyFill="1"/>
    <xf numFmtId="165" fontId="5" fillId="3" borderId="0" xfId="0" applyNumberFormat="1" applyFont="1" applyFill="1"/>
    <xf numFmtId="166" fontId="5" fillId="3" borderId="0" xfId="0" applyNumberFormat="1" applyFont="1" applyFill="1"/>
    <xf numFmtId="10" fontId="5" fillId="3" borderId="0" xfId="0" applyNumberFormat="1" applyFont="1" applyFill="1"/>
    <xf numFmtId="3" fontId="5" fillId="3" borderId="0" xfId="0" applyNumberFormat="1" applyFont="1" applyFill="1"/>
    <xf numFmtId="165" fontId="5" fillId="0" borderId="0" xfId="0" applyNumberFormat="1" applyFont="1"/>
    <xf numFmtId="0" fontId="8" fillId="8" borderId="0" xfId="0" applyFont="1" applyFill="1"/>
    <xf numFmtId="0" fontId="12" fillId="0" borderId="0" xfId="0" applyFont="1"/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7" borderId="0" xfId="0" applyFont="1" applyFill="1" applyAlignment="1">
      <alignment horizontal="center"/>
    </xf>
    <xf numFmtId="3" fontId="5" fillId="7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3" fillId="3" borderId="0" xfId="0" applyFont="1" applyFill="1"/>
    <xf numFmtId="0" fontId="9" fillId="0" borderId="0" xfId="0" applyFont="1" applyAlignment="1">
      <alignment wrapText="1"/>
    </xf>
    <xf numFmtId="10" fontId="5" fillId="6" borderId="0" xfId="0" applyNumberFormat="1" applyFont="1" applyFill="1"/>
    <xf numFmtId="164" fontId="5" fillId="7" borderId="0" xfId="0" applyNumberFormat="1" applyFont="1" applyFill="1" applyAlignment="1">
      <alignment horizontal="center"/>
    </xf>
    <xf numFmtId="9" fontId="5" fillId="7" borderId="0" xfId="0" applyNumberFormat="1" applyFont="1" applyFill="1" applyAlignment="1">
      <alignment horizontal="center"/>
    </xf>
    <xf numFmtId="9" fontId="5" fillId="6" borderId="0" xfId="0" applyNumberFormat="1" applyFont="1" applyFill="1" applyAlignment="1">
      <alignment horizontal="center"/>
    </xf>
    <xf numFmtId="0" fontId="3" fillId="0" borderId="0" xfId="0" applyFont="1"/>
    <xf numFmtId="3" fontId="5" fillId="9" borderId="0" xfId="0" applyNumberFormat="1" applyFont="1" applyFill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7" fillId="0" borderId="4" xfId="0" applyFont="1" applyBorder="1"/>
    <xf numFmtId="164" fontId="5" fillId="0" borderId="13" xfId="0" applyNumberFormat="1" applyFont="1" applyBorder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4" fillId="10" borderId="0" xfId="0" applyFont="1" applyFill="1"/>
    <xf numFmtId="0" fontId="14" fillId="10" borderId="15" xfId="0" applyFont="1" applyFill="1" applyBorder="1"/>
    <xf numFmtId="0" fontId="15" fillId="10" borderId="15" xfId="0" applyFont="1" applyFill="1" applyBorder="1"/>
    <xf numFmtId="0" fontId="5" fillId="8" borderId="0" xfId="0" applyFont="1" applyFill="1"/>
    <xf numFmtId="0" fontId="5" fillId="0" borderId="16" xfId="0" applyFont="1" applyBorder="1"/>
    <xf numFmtId="0" fontId="16" fillId="0" borderId="0" xfId="0" applyFont="1"/>
    <xf numFmtId="0" fontId="0" fillId="0" borderId="3" xfId="0" applyBorder="1"/>
    <xf numFmtId="0" fontId="0" fillId="0" borderId="17" xfId="0" applyBorder="1"/>
    <xf numFmtId="0" fontId="5" fillId="0" borderId="17" xfId="0" applyFont="1" applyBorder="1"/>
    <xf numFmtId="0" fontId="0" fillId="0" borderId="17" xfId="0" applyBorder="1" applyAlignment="1">
      <alignment horizontal="center"/>
    </xf>
    <xf numFmtId="0" fontId="17" fillId="7" borderId="0" xfId="0" applyFont="1" applyFill="1"/>
    <xf numFmtId="0" fontId="18" fillId="7" borderId="11" xfId="0" applyFont="1" applyFill="1" applyBorder="1"/>
    <xf numFmtId="0" fontId="19" fillId="0" borderId="0" xfId="0" applyFont="1"/>
    <xf numFmtId="0" fontId="20" fillId="0" borderId="0" xfId="0" applyFont="1"/>
    <xf numFmtId="9" fontId="19" fillId="0" borderId="0" xfId="0" applyNumberFormat="1" applyFont="1" applyAlignment="1">
      <alignment horizontal="center"/>
    </xf>
    <xf numFmtId="0" fontId="19" fillId="0" borderId="11" xfId="0" applyFont="1" applyBorder="1"/>
    <xf numFmtId="9" fontId="19" fillId="7" borderId="0" xfId="0" applyNumberFormat="1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18" xfId="0" applyBorder="1"/>
    <xf numFmtId="0" fontId="7" fillId="0" borderId="18" xfId="0" applyFont="1" applyBorder="1"/>
    <xf numFmtId="0" fontId="7" fillId="0" borderId="12" xfId="0" applyFont="1" applyBorder="1"/>
    <xf numFmtId="0" fontId="3" fillId="6" borderId="0" xfId="0" applyFont="1" applyFill="1"/>
    <xf numFmtId="0" fontId="16" fillId="7" borderId="0" xfId="0" applyFont="1" applyFill="1" applyAlignment="1">
      <alignment horizontal="right"/>
    </xf>
    <xf numFmtId="0" fontId="7" fillId="0" borderId="0" xfId="0" applyFont="1" applyBorder="1"/>
    <xf numFmtId="164" fontId="7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folders/0f/kvwpl2w51330lk8v8r7szvj40000gn/T/com.microsoft.Outlook/Outlook%20Temp/Brand%20Valua+or%20Non-Media%20Tool%20CHEVRON-CO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Media Summary"/>
      <sheetName val="Indirect Business"/>
      <sheetName val="Direct &amp; Indirect Business"/>
      <sheetName val="IP Rights &amp; Designations"/>
      <sheetName val="CSR Model"/>
      <sheetName val="Human Capital Model"/>
      <sheetName val="Database Marketing"/>
      <sheetName val="On-Site Marketing"/>
      <sheetName val="Hospitality"/>
    </sheetNames>
    <sheetDataSet>
      <sheetData sheetId="0">
        <row r="3">
          <cell r="B3" t="str">
            <v>Prestige Sports Property</v>
          </cell>
        </row>
        <row r="5">
          <cell r="B5" t="str">
            <v>Yes</v>
          </cell>
        </row>
        <row r="6">
          <cell r="B6" t="str">
            <v>Yes</v>
          </cell>
        </row>
        <row r="7">
          <cell r="B7">
            <v>10</v>
          </cell>
        </row>
        <row r="8">
          <cell r="B8">
            <v>0.05</v>
          </cell>
        </row>
        <row r="9">
          <cell r="B9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EFF0-E34F-8F41-BABF-72A1480F96A7}">
  <sheetPr>
    <outlinePr summaryBelow="0" summaryRight="0"/>
  </sheetPr>
  <dimension ref="A1:X541"/>
  <sheetViews>
    <sheetView showGridLines="0" tabSelected="1" zoomScale="130" zoomScaleNormal="130" workbookViewId="0">
      <pane ySplit="1" topLeftCell="A2" activePane="bottomLeft" state="frozen"/>
      <selection pane="bottomLeft" activeCell="A14" sqref="A14"/>
    </sheetView>
  </sheetViews>
  <sheetFormatPr baseColWidth="10" defaultColWidth="14.33203125" defaultRowHeight="15.75" customHeight="1"/>
  <cols>
    <col min="1" max="1" width="87.6640625" customWidth="1"/>
    <col min="2" max="2" width="51.5" bestFit="1" customWidth="1"/>
    <col min="11" max="11" width="34.33203125" bestFit="1" customWidth="1"/>
    <col min="12" max="12" width="42.83203125" bestFit="1" customWidth="1"/>
    <col min="13" max="13" width="40.83203125" bestFit="1" customWidth="1"/>
    <col min="17" max="17" width="18.33203125" customWidth="1"/>
  </cols>
  <sheetData>
    <row r="1" spans="1:16" ht="13">
      <c r="A1" s="120" t="s">
        <v>347</v>
      </c>
      <c r="B1" s="119" t="s">
        <v>346</v>
      </c>
      <c r="C1" s="45" t="s">
        <v>345</v>
      </c>
    </row>
    <row r="2" spans="1:16" ht="13">
      <c r="A2" s="32"/>
      <c r="B2" s="32"/>
    </row>
    <row r="3" spans="1:16" ht="13">
      <c r="A3" s="118" t="s">
        <v>344</v>
      </c>
      <c r="B3" s="117" t="s">
        <v>343</v>
      </c>
      <c r="C3" s="116"/>
      <c r="D3" s="116"/>
      <c r="E3" s="116"/>
      <c r="F3" s="116"/>
      <c r="G3" s="97"/>
    </row>
    <row r="4" spans="1:16" ht="13">
      <c r="A4" s="113" t="s">
        <v>342</v>
      </c>
      <c r="B4" s="115" t="str">
        <f>'[1]Non-Media Summary'!B3</f>
        <v>Prestige Sports Property</v>
      </c>
      <c r="C4" s="111" t="s">
        <v>333</v>
      </c>
      <c r="D4" s="110"/>
      <c r="G4" s="96"/>
    </row>
    <row r="5" spans="1:16" ht="13">
      <c r="A5" s="113" t="s">
        <v>341</v>
      </c>
      <c r="B5" s="115" t="s">
        <v>340</v>
      </c>
      <c r="C5" s="111" t="s">
        <v>333</v>
      </c>
      <c r="D5" s="110"/>
      <c r="G5" s="96"/>
    </row>
    <row r="6" spans="1:16" ht="13">
      <c r="A6" s="113" t="s">
        <v>339</v>
      </c>
      <c r="B6" s="115" t="str">
        <f>'[1]Non-Media Summary'!B5</f>
        <v>Yes</v>
      </c>
      <c r="C6" s="111" t="s">
        <v>333</v>
      </c>
      <c r="D6" s="110"/>
      <c r="E6" s="33" t="s">
        <v>337</v>
      </c>
      <c r="G6" s="96"/>
    </row>
    <row r="7" spans="1:16" ht="13">
      <c r="A7" s="113" t="s">
        <v>338</v>
      </c>
      <c r="B7" s="115" t="str">
        <f>'[1]Non-Media Summary'!B6</f>
        <v>Yes</v>
      </c>
      <c r="C7" s="111" t="s">
        <v>333</v>
      </c>
      <c r="D7" s="110"/>
      <c r="E7" s="33" t="s">
        <v>337</v>
      </c>
      <c r="G7" s="96"/>
    </row>
    <row r="8" spans="1:16" ht="13">
      <c r="A8" s="113" t="s">
        <v>336</v>
      </c>
      <c r="B8" s="115">
        <f>'[1]Non-Media Summary'!B7</f>
        <v>10</v>
      </c>
      <c r="C8" s="111" t="s">
        <v>333</v>
      </c>
      <c r="D8" s="110"/>
      <c r="G8" s="96"/>
    </row>
    <row r="9" spans="1:16" ht="13">
      <c r="A9" s="113" t="s">
        <v>335</v>
      </c>
      <c r="B9" s="114">
        <f>'[1]Non-Media Summary'!B8</f>
        <v>0.05</v>
      </c>
      <c r="C9" s="111" t="s">
        <v>333</v>
      </c>
      <c r="D9" s="110"/>
      <c r="G9" s="96"/>
    </row>
    <row r="10" spans="1:16" ht="13">
      <c r="A10" s="113" t="s">
        <v>334</v>
      </c>
      <c r="B10" s="112">
        <f>'[1]Non-Media Summary'!B9</f>
        <v>0.25</v>
      </c>
      <c r="C10" s="111" t="s">
        <v>333</v>
      </c>
      <c r="D10" s="110"/>
      <c r="G10" s="96"/>
    </row>
    <row r="11" spans="1:16" ht="15">
      <c r="A11" s="109"/>
      <c r="B11" s="108"/>
      <c r="G11" s="96"/>
    </row>
    <row r="12" spans="1:16" ht="14">
      <c r="A12" s="21" t="s">
        <v>332</v>
      </c>
      <c r="B12" s="108"/>
      <c r="C12" s="33" t="s">
        <v>330</v>
      </c>
      <c r="G12" s="96"/>
    </row>
    <row r="13" spans="1:16" ht="13">
      <c r="A13" s="19" t="s">
        <v>331</v>
      </c>
      <c r="B13" s="107" t="str">
        <f>IF(AND(B6="Yes",B7="Yes"),"Yes","No")</f>
        <v>Yes</v>
      </c>
      <c r="C13" s="106" t="s">
        <v>330</v>
      </c>
      <c r="D13" s="105"/>
      <c r="E13" s="105"/>
      <c r="F13" s="105"/>
      <c r="G13" s="104"/>
    </row>
    <row r="15" spans="1:16" ht="13">
      <c r="A15" s="32" t="s">
        <v>329</v>
      </c>
      <c r="B15" s="61"/>
    </row>
    <row r="16" spans="1:16" ht="13">
      <c r="A16" s="103" t="s">
        <v>328</v>
      </c>
      <c r="B16" s="102" t="s">
        <v>327</v>
      </c>
      <c r="C16" s="102" t="s">
        <v>326</v>
      </c>
      <c r="D16" s="102" t="s">
        <v>325</v>
      </c>
      <c r="E16" s="102" t="s">
        <v>324</v>
      </c>
      <c r="F16" s="102" t="s">
        <v>323</v>
      </c>
      <c r="G16" s="102" t="s">
        <v>322</v>
      </c>
      <c r="H16" s="102" t="s">
        <v>321</v>
      </c>
      <c r="I16" s="102" t="s">
        <v>289</v>
      </c>
      <c r="J16" s="102" t="s">
        <v>320</v>
      </c>
      <c r="K16" s="101" t="s">
        <v>319</v>
      </c>
      <c r="L16" s="33" t="s">
        <v>318</v>
      </c>
      <c r="M16" s="33" t="s">
        <v>317</v>
      </c>
      <c r="P16" s="33" t="s">
        <v>13</v>
      </c>
    </row>
    <row r="17" spans="1:16" ht="15">
      <c r="A17" s="99" t="s">
        <v>316</v>
      </c>
      <c r="B17" s="88" t="s">
        <v>283</v>
      </c>
      <c r="C17" s="88" t="s">
        <v>13</v>
      </c>
      <c r="D17" s="88" t="s">
        <v>283</v>
      </c>
      <c r="E17" s="88" t="s">
        <v>13</v>
      </c>
      <c r="F17" s="88" t="s">
        <v>13</v>
      </c>
      <c r="G17" s="88" t="s">
        <v>283</v>
      </c>
      <c r="H17" s="88" t="s">
        <v>13</v>
      </c>
      <c r="I17" s="88" t="s">
        <v>13</v>
      </c>
      <c r="J17" s="33" t="s">
        <v>13</v>
      </c>
      <c r="K17" s="34">
        <f>IF($B$12="Yes",B519,0)</f>
        <v>0</v>
      </c>
      <c r="L17" s="34">
        <f>IF($B$12="Yes", B517,0)</f>
        <v>0</v>
      </c>
      <c r="M17" s="34">
        <f>IF($B$12="Yes", B518,0)</f>
        <v>0</v>
      </c>
      <c r="P17" s="33" t="s">
        <v>283</v>
      </c>
    </row>
    <row r="18" spans="1:16" ht="15">
      <c r="A18" s="99" t="s">
        <v>272</v>
      </c>
      <c r="B18" s="88" t="s">
        <v>13</v>
      </c>
      <c r="C18" s="88" t="s">
        <v>283</v>
      </c>
      <c r="D18" s="88" t="s">
        <v>13</v>
      </c>
      <c r="E18" s="88" t="s">
        <v>13</v>
      </c>
      <c r="F18" s="88" t="s">
        <v>13</v>
      </c>
      <c r="G18" s="88" t="s">
        <v>13</v>
      </c>
      <c r="H18" s="88" t="s">
        <v>13</v>
      </c>
      <c r="I18" s="88" t="s">
        <v>283</v>
      </c>
      <c r="J18" s="33" t="s">
        <v>13</v>
      </c>
      <c r="K18" s="34">
        <f>IF($B$12="Yes",B87,0)</f>
        <v>0</v>
      </c>
      <c r="L18" s="34">
        <f>IF($B$12="Yes",B85,0)</f>
        <v>0</v>
      </c>
      <c r="M18" s="34">
        <f>IF($B$12="Yes",B86,0)</f>
        <v>0</v>
      </c>
    </row>
    <row r="19" spans="1:16" ht="15">
      <c r="A19" s="99" t="s">
        <v>315</v>
      </c>
      <c r="B19" s="88" t="s">
        <v>13</v>
      </c>
      <c r="C19" s="88" t="s">
        <v>13</v>
      </c>
      <c r="D19" s="88" t="s">
        <v>13</v>
      </c>
      <c r="E19" s="88" t="s">
        <v>13</v>
      </c>
      <c r="F19" s="88" t="s">
        <v>13</v>
      </c>
      <c r="G19" s="88" t="s">
        <v>13</v>
      </c>
      <c r="H19" s="88" t="s">
        <v>13</v>
      </c>
      <c r="I19" s="88" t="s">
        <v>13</v>
      </c>
      <c r="J19" s="33" t="s">
        <v>283</v>
      </c>
      <c r="K19" s="34">
        <f>IF($B$12="Yes",B122,0)</f>
        <v>0</v>
      </c>
      <c r="L19" s="34">
        <f>IF($B$12="Yes",B120,0)</f>
        <v>0</v>
      </c>
      <c r="M19" s="34">
        <f>IF($B$12="Yes",B121,0)</f>
        <v>0</v>
      </c>
    </row>
    <row r="20" spans="1:16" ht="15">
      <c r="A20" s="99" t="s">
        <v>252</v>
      </c>
      <c r="B20" s="88" t="s">
        <v>283</v>
      </c>
      <c r="C20" s="88" t="s">
        <v>13</v>
      </c>
      <c r="D20" s="88" t="s">
        <v>283</v>
      </c>
      <c r="E20" s="88" t="s">
        <v>283</v>
      </c>
      <c r="F20" s="88" t="s">
        <v>283</v>
      </c>
      <c r="G20" s="88" t="s">
        <v>283</v>
      </c>
      <c r="H20" s="88" t="s">
        <v>13</v>
      </c>
      <c r="I20" s="88" t="s">
        <v>13</v>
      </c>
      <c r="J20" s="33" t="s">
        <v>283</v>
      </c>
      <c r="K20" s="34">
        <f>IF($B$12="Yes",B139,0)</f>
        <v>0</v>
      </c>
      <c r="L20" s="34">
        <f>IF($B$12="Yes",B137,0)</f>
        <v>0</v>
      </c>
      <c r="M20" s="34">
        <f>IF($B$12="Yes",B138,0)</f>
        <v>0</v>
      </c>
    </row>
    <row r="21" spans="1:16" ht="15" hidden="1">
      <c r="A21" s="100" t="s">
        <v>314</v>
      </c>
      <c r="B21" s="88" t="s">
        <v>283</v>
      </c>
      <c r="C21" s="88" t="s">
        <v>283</v>
      </c>
      <c r="D21" s="88" t="s">
        <v>283</v>
      </c>
      <c r="E21" s="88" t="s">
        <v>283</v>
      </c>
      <c r="F21" s="88" t="s">
        <v>283</v>
      </c>
      <c r="G21" s="88" t="s">
        <v>283</v>
      </c>
      <c r="H21" s="88" t="s">
        <v>283</v>
      </c>
      <c r="I21" s="88" t="s">
        <v>283</v>
      </c>
      <c r="J21" s="33" t="s">
        <v>283</v>
      </c>
      <c r="K21" s="34">
        <f>IF($B$12="Yes",B65,0)</f>
        <v>0</v>
      </c>
      <c r="L21" s="34">
        <f>IF($B$12="Yes",C65,0)</f>
        <v>0</v>
      </c>
      <c r="M21" s="34">
        <f>IF($B$12="Yes",D65,0)</f>
        <v>0</v>
      </c>
    </row>
    <row r="22" spans="1:16" ht="15">
      <c r="A22" s="99" t="s">
        <v>313</v>
      </c>
      <c r="B22" s="88" t="s">
        <v>13</v>
      </c>
      <c r="C22" s="88" t="s">
        <v>13</v>
      </c>
      <c r="D22" s="88" t="s">
        <v>13</v>
      </c>
      <c r="E22" s="88" t="s">
        <v>13</v>
      </c>
      <c r="F22" s="88" t="s">
        <v>13</v>
      </c>
      <c r="G22" s="88" t="s">
        <v>13</v>
      </c>
      <c r="H22" s="88" t="s">
        <v>13</v>
      </c>
      <c r="I22" s="88" t="s">
        <v>13</v>
      </c>
      <c r="J22" s="33" t="s">
        <v>283</v>
      </c>
      <c r="K22" s="34">
        <f>IF($B$12="Yes",B146,0)</f>
        <v>0</v>
      </c>
      <c r="L22" s="34">
        <f>IF($B$12="Yes",B144,0)</f>
        <v>0</v>
      </c>
      <c r="M22" s="34">
        <f>IF($B$12="Yes",B145,0)</f>
        <v>0</v>
      </c>
    </row>
    <row r="23" spans="1:16" ht="15" hidden="1">
      <c r="A23" s="100" t="s">
        <v>312</v>
      </c>
      <c r="B23" s="88" t="s">
        <v>283</v>
      </c>
      <c r="C23" s="88" t="s">
        <v>283</v>
      </c>
      <c r="D23" s="88" t="s">
        <v>283</v>
      </c>
      <c r="E23" s="88" t="s">
        <v>283</v>
      </c>
      <c r="F23" s="88" t="s">
        <v>283</v>
      </c>
      <c r="G23" s="88" t="s">
        <v>283</v>
      </c>
      <c r="H23" s="88" t="s">
        <v>283</v>
      </c>
      <c r="I23" s="88" t="s">
        <v>283</v>
      </c>
      <c r="J23" s="33" t="s">
        <v>283</v>
      </c>
      <c r="K23" s="34">
        <f>IF($B$12="Yes",B67,0)</f>
        <v>0</v>
      </c>
      <c r="L23" s="34">
        <f>IF($B$12="Yes",C67,0)</f>
        <v>0</v>
      </c>
      <c r="M23" s="34">
        <f>IF($B$12="Yes",D67,0)</f>
        <v>0</v>
      </c>
    </row>
    <row r="24" spans="1:16" ht="15">
      <c r="A24" s="99" t="s">
        <v>311</v>
      </c>
      <c r="B24" s="88" t="s">
        <v>13</v>
      </c>
      <c r="C24" s="88" t="s">
        <v>13</v>
      </c>
      <c r="D24" s="88" t="s">
        <v>13</v>
      </c>
      <c r="E24" s="88" t="s">
        <v>13</v>
      </c>
      <c r="F24" s="88" t="s">
        <v>13</v>
      </c>
      <c r="G24" s="88" t="s">
        <v>13</v>
      </c>
      <c r="H24" s="88" t="s">
        <v>13</v>
      </c>
      <c r="I24" s="88" t="s">
        <v>13</v>
      </c>
      <c r="J24" s="33" t="s">
        <v>283</v>
      </c>
      <c r="K24" s="34">
        <f>IF($B$12="Yes",B122,0)</f>
        <v>0</v>
      </c>
      <c r="L24" s="34">
        <f>IF($B$12="Yes",B120,0)</f>
        <v>0</v>
      </c>
      <c r="M24" s="34">
        <f>IF($B$12="Yes",B121,0)</f>
        <v>0</v>
      </c>
      <c r="O24" s="61" t="s">
        <v>310</v>
      </c>
    </row>
    <row r="25" spans="1:16" ht="15">
      <c r="A25" s="99" t="s">
        <v>238</v>
      </c>
      <c r="B25" s="88" t="s">
        <v>13</v>
      </c>
      <c r="C25" s="88" t="s">
        <v>13</v>
      </c>
      <c r="D25" s="88" t="s">
        <v>13</v>
      </c>
      <c r="E25" s="88" t="s">
        <v>13</v>
      </c>
      <c r="F25" s="88" t="s">
        <v>13</v>
      </c>
      <c r="G25" s="88" t="s">
        <v>13</v>
      </c>
      <c r="H25" s="88" t="s">
        <v>13</v>
      </c>
      <c r="I25" s="88" t="s">
        <v>13</v>
      </c>
      <c r="J25" s="33" t="s">
        <v>283</v>
      </c>
      <c r="K25" s="34">
        <f>IF($B$12="Yes",B183,0)</f>
        <v>0</v>
      </c>
      <c r="L25" s="34">
        <f>IF($B$12="Yes",B179,0)</f>
        <v>0</v>
      </c>
      <c r="M25" s="34">
        <f>IF($B$12="Yes",B181,0)</f>
        <v>0</v>
      </c>
      <c r="O25" s="61" t="s">
        <v>309</v>
      </c>
    </row>
    <row r="26" spans="1:16" ht="15">
      <c r="A26" s="99" t="s">
        <v>216</v>
      </c>
      <c r="B26" s="88" t="s">
        <v>13</v>
      </c>
      <c r="C26" s="88" t="s">
        <v>13</v>
      </c>
      <c r="D26" s="88" t="s">
        <v>13</v>
      </c>
      <c r="E26" s="88" t="s">
        <v>13</v>
      </c>
      <c r="F26" s="88" t="s">
        <v>13</v>
      </c>
      <c r="G26" s="88" t="s">
        <v>13</v>
      </c>
      <c r="H26" s="88" t="s">
        <v>13</v>
      </c>
      <c r="I26" s="88" t="s">
        <v>13</v>
      </c>
      <c r="J26" s="33" t="s">
        <v>283</v>
      </c>
      <c r="K26" s="34">
        <f>IF($B$12="Yes",B203,0)</f>
        <v>0</v>
      </c>
      <c r="L26" s="34">
        <f>IF($B$12="Yes",B201,0)</f>
        <v>0</v>
      </c>
      <c r="M26" s="34">
        <f>IF($B$12="Yes",B202,0)</f>
        <v>0</v>
      </c>
    </row>
    <row r="27" spans="1:16" ht="15">
      <c r="A27" s="99" t="s">
        <v>308</v>
      </c>
      <c r="B27" s="88" t="s">
        <v>13</v>
      </c>
      <c r="C27" s="88" t="s">
        <v>13</v>
      </c>
      <c r="D27" s="88" t="s">
        <v>13</v>
      </c>
      <c r="E27" s="88" t="s">
        <v>13</v>
      </c>
      <c r="F27" s="88" t="s">
        <v>13</v>
      </c>
      <c r="G27" s="88" t="s">
        <v>13</v>
      </c>
      <c r="H27" s="88" t="s">
        <v>13</v>
      </c>
      <c r="I27" s="88" t="s">
        <v>13</v>
      </c>
      <c r="J27" s="33" t="s">
        <v>283</v>
      </c>
      <c r="K27" s="34">
        <f>IF($B$12="Yes",B122,0)</f>
        <v>0</v>
      </c>
      <c r="L27" s="34">
        <f>IF($B$12="Yes",B120,0)</f>
        <v>0</v>
      </c>
      <c r="M27" s="34">
        <f>IF($B$12="Yes",B121,0)</f>
        <v>0</v>
      </c>
    </row>
    <row r="28" spans="1:16" ht="15">
      <c r="A28" s="99" t="s">
        <v>203</v>
      </c>
      <c r="B28" s="88" t="s">
        <v>13</v>
      </c>
      <c r="C28" s="88" t="s">
        <v>13</v>
      </c>
      <c r="D28" s="88" t="s">
        <v>13</v>
      </c>
      <c r="E28" s="88" t="s">
        <v>13</v>
      </c>
      <c r="F28" s="88" t="s">
        <v>13</v>
      </c>
      <c r="G28" s="88" t="s">
        <v>283</v>
      </c>
      <c r="H28" s="88" t="s">
        <v>13</v>
      </c>
      <c r="I28" s="88" t="s">
        <v>13</v>
      </c>
      <c r="J28" s="33" t="s">
        <v>13</v>
      </c>
      <c r="K28" s="34">
        <f>IF($B$12="Yes",B228,0)</f>
        <v>0</v>
      </c>
      <c r="L28" s="34">
        <f>IF($B$12="Yes",B226,0)</f>
        <v>0</v>
      </c>
      <c r="M28" s="34">
        <f>IF($B$12="Yes",B227,0)</f>
        <v>0</v>
      </c>
    </row>
    <row r="29" spans="1:16" ht="15" hidden="1">
      <c r="A29" s="100" t="s">
        <v>307</v>
      </c>
      <c r="B29" s="88" t="s">
        <v>283</v>
      </c>
      <c r="C29" s="88" t="s">
        <v>283</v>
      </c>
      <c r="D29" s="88" t="s">
        <v>283</v>
      </c>
      <c r="E29" s="88" t="s">
        <v>283</v>
      </c>
      <c r="F29" s="88" t="s">
        <v>283</v>
      </c>
      <c r="G29" s="88" t="s">
        <v>283</v>
      </c>
      <c r="H29" s="88" t="s">
        <v>283</v>
      </c>
      <c r="I29" s="88" t="s">
        <v>283</v>
      </c>
      <c r="J29" s="33" t="s">
        <v>283</v>
      </c>
      <c r="K29" s="34">
        <f>IF($B$12="Yes",B73,0)</f>
        <v>0</v>
      </c>
      <c r="L29" s="34">
        <f>IF($B$12="Yes",C73,0)</f>
        <v>0</v>
      </c>
      <c r="M29" s="34">
        <f>IF($B$12="Yes",D73,0)</f>
        <v>0</v>
      </c>
    </row>
    <row r="30" spans="1:16" ht="15">
      <c r="A30" s="99" t="s">
        <v>306</v>
      </c>
      <c r="B30" s="88" t="s">
        <v>13</v>
      </c>
      <c r="C30" s="88" t="s">
        <v>13</v>
      </c>
      <c r="D30" s="88" t="s">
        <v>13</v>
      </c>
      <c r="E30" s="88" t="s">
        <v>13</v>
      </c>
      <c r="F30" s="88" t="s">
        <v>13</v>
      </c>
      <c r="G30" s="88" t="s">
        <v>13</v>
      </c>
      <c r="H30" s="88" t="s">
        <v>13</v>
      </c>
      <c r="I30" s="88" t="s">
        <v>13</v>
      </c>
      <c r="J30" s="33" t="s">
        <v>283</v>
      </c>
      <c r="K30" s="34">
        <f>IF($B$12="Yes",B261,0)</f>
        <v>0</v>
      </c>
      <c r="L30" s="34">
        <f>IF($B$12="Yes",B259,0)</f>
        <v>0</v>
      </c>
      <c r="M30" s="34">
        <f>IF($B$12="Yes",B260,0)</f>
        <v>0</v>
      </c>
    </row>
    <row r="31" spans="1:16" ht="15">
      <c r="A31" s="99" t="s">
        <v>305</v>
      </c>
      <c r="B31" s="88" t="s">
        <v>13</v>
      </c>
      <c r="C31" s="88" t="s">
        <v>13</v>
      </c>
      <c r="D31" s="88" t="s">
        <v>13</v>
      </c>
      <c r="E31" s="88" t="s">
        <v>13</v>
      </c>
      <c r="F31" s="88" t="s">
        <v>13</v>
      </c>
      <c r="G31" s="88" t="s">
        <v>13</v>
      </c>
      <c r="H31" s="88" t="s">
        <v>13</v>
      </c>
      <c r="I31" s="88" t="s">
        <v>13</v>
      </c>
      <c r="J31" s="33" t="s">
        <v>283</v>
      </c>
      <c r="K31" s="34">
        <f>IF($B$12="Yes",B274,0)</f>
        <v>0</v>
      </c>
      <c r="L31" s="34">
        <f>IF($B$12="Yes",B272,0)</f>
        <v>0</v>
      </c>
      <c r="M31" s="34">
        <f>IF($B$12="Yes",B273,0)</f>
        <v>0</v>
      </c>
    </row>
    <row r="32" spans="1:16" ht="15">
      <c r="A32" s="99" t="s">
        <v>304</v>
      </c>
      <c r="B32" s="88" t="s">
        <v>13</v>
      </c>
      <c r="C32" s="88" t="s">
        <v>13</v>
      </c>
      <c r="D32" s="88" t="s">
        <v>13</v>
      </c>
      <c r="E32" s="88" t="s">
        <v>13</v>
      </c>
      <c r="F32" s="88" t="s">
        <v>13</v>
      </c>
      <c r="G32" s="88" t="s">
        <v>13</v>
      </c>
      <c r="H32" s="88" t="s">
        <v>13</v>
      </c>
      <c r="I32" s="88" t="s">
        <v>13</v>
      </c>
      <c r="J32" s="33" t="s">
        <v>13</v>
      </c>
      <c r="K32" s="34">
        <f>IF($B$12="Yes",B296,0)</f>
        <v>0</v>
      </c>
      <c r="L32" s="34">
        <f>IF($B$12="Yes",B294,0)</f>
        <v>0</v>
      </c>
      <c r="M32" s="34">
        <f>IF($B$12="Yes",B295,0)</f>
        <v>0</v>
      </c>
    </row>
    <row r="33" spans="1:13" ht="15" hidden="1">
      <c r="A33" s="100" t="s">
        <v>303</v>
      </c>
      <c r="B33" s="88" t="s">
        <v>283</v>
      </c>
      <c r="C33" s="88" t="s">
        <v>283</v>
      </c>
      <c r="D33" s="88" t="s">
        <v>283</v>
      </c>
      <c r="E33" s="88" t="s">
        <v>283</v>
      </c>
      <c r="F33" s="88" t="s">
        <v>283</v>
      </c>
      <c r="G33" s="88" t="s">
        <v>283</v>
      </c>
      <c r="H33" s="88" t="s">
        <v>283</v>
      </c>
      <c r="I33" s="88" t="s">
        <v>283</v>
      </c>
      <c r="J33" s="33" t="s">
        <v>283</v>
      </c>
      <c r="K33" s="34">
        <f>IF($B$12="Yes",B77,0)</f>
        <v>0</v>
      </c>
      <c r="L33" s="34">
        <f>IF($B$12="Yes",C77,0)</f>
        <v>0</v>
      </c>
      <c r="M33" s="34">
        <f>IF($B$12="Yes",D77,0)</f>
        <v>0</v>
      </c>
    </row>
    <row r="34" spans="1:13" ht="15">
      <c r="A34" s="99" t="s">
        <v>302</v>
      </c>
      <c r="B34" s="88" t="s">
        <v>13</v>
      </c>
      <c r="C34" s="88" t="s">
        <v>13</v>
      </c>
      <c r="D34" s="88" t="s">
        <v>13</v>
      </c>
      <c r="E34" s="88" t="s">
        <v>13</v>
      </c>
      <c r="F34" s="88" t="s">
        <v>13</v>
      </c>
      <c r="G34" s="88" t="s">
        <v>13</v>
      </c>
      <c r="H34" s="88" t="s">
        <v>13</v>
      </c>
      <c r="I34" s="88" t="s">
        <v>13</v>
      </c>
      <c r="J34" s="33" t="s">
        <v>283</v>
      </c>
      <c r="K34" s="34">
        <f>IF($B$12="Yes",B328,0)</f>
        <v>0</v>
      </c>
      <c r="L34" s="34">
        <f>IF($B$12="Yes",B326,0)</f>
        <v>0</v>
      </c>
      <c r="M34" s="34">
        <f>IF($B$12="Yes",B327,0)</f>
        <v>0</v>
      </c>
    </row>
    <row r="35" spans="1:13" ht="15">
      <c r="A35" s="99" t="s">
        <v>301</v>
      </c>
      <c r="B35" s="88" t="s">
        <v>13</v>
      </c>
      <c r="C35" s="88" t="s">
        <v>13</v>
      </c>
      <c r="D35" s="88" t="s">
        <v>13</v>
      </c>
      <c r="E35" s="88" t="s">
        <v>13</v>
      </c>
      <c r="F35" s="88" t="s">
        <v>13</v>
      </c>
      <c r="G35" s="88" t="s">
        <v>13</v>
      </c>
      <c r="H35" s="88" t="s">
        <v>13</v>
      </c>
      <c r="I35" s="88" t="s">
        <v>13</v>
      </c>
      <c r="J35" s="33" t="s">
        <v>283</v>
      </c>
      <c r="K35" s="34">
        <f>IF($B$12="Yes",B122,0)</f>
        <v>0</v>
      </c>
      <c r="L35" s="34">
        <f>IF($B$12="Yes",B120,0)</f>
        <v>0</v>
      </c>
      <c r="M35" s="34">
        <f>IF($B$12="Yes",B121,0)</f>
        <v>0</v>
      </c>
    </row>
    <row r="36" spans="1:13" ht="15" hidden="1">
      <c r="A36" s="100" t="s">
        <v>300</v>
      </c>
      <c r="B36" s="88" t="s">
        <v>283</v>
      </c>
      <c r="C36" s="88" t="s">
        <v>283</v>
      </c>
      <c r="D36" s="88" t="s">
        <v>283</v>
      </c>
      <c r="E36" s="88" t="s">
        <v>283</v>
      </c>
      <c r="F36" s="88" t="s">
        <v>283</v>
      </c>
      <c r="G36" s="88" t="s">
        <v>283</v>
      </c>
      <c r="H36" s="88" t="s">
        <v>283</v>
      </c>
      <c r="I36" s="88" t="s">
        <v>283</v>
      </c>
      <c r="J36" s="33" t="s">
        <v>283</v>
      </c>
      <c r="K36" s="34">
        <f>IF($B$12="Yes",B80,0)</f>
        <v>0</v>
      </c>
      <c r="L36" s="34">
        <f>IF($B$12="Yes",C80,0)</f>
        <v>0</v>
      </c>
      <c r="M36" s="34">
        <f>IF($B$12="Yes",D80,0)</f>
        <v>0</v>
      </c>
    </row>
    <row r="37" spans="1:13" ht="15" hidden="1">
      <c r="A37" s="100" t="s">
        <v>299</v>
      </c>
      <c r="B37" s="88" t="s">
        <v>283</v>
      </c>
      <c r="C37" s="88" t="s">
        <v>283</v>
      </c>
      <c r="D37" s="88" t="s">
        <v>283</v>
      </c>
      <c r="E37" s="88" t="s">
        <v>283</v>
      </c>
      <c r="F37" s="88" t="s">
        <v>283</v>
      </c>
      <c r="G37" s="88" t="s">
        <v>283</v>
      </c>
      <c r="H37" s="88" t="s">
        <v>283</v>
      </c>
      <c r="I37" s="88" t="s">
        <v>283</v>
      </c>
      <c r="J37" s="33" t="s">
        <v>283</v>
      </c>
      <c r="K37" s="34">
        <f>IF($B$12="Yes",B81,0)</f>
        <v>0</v>
      </c>
      <c r="L37" s="34">
        <f>IF($B$12="Yes",C81,0)</f>
        <v>0</v>
      </c>
      <c r="M37" s="34">
        <f>IF($B$12="Yes",D81,0)</f>
        <v>0</v>
      </c>
    </row>
    <row r="38" spans="1:13" ht="15" hidden="1">
      <c r="A38" s="100" t="s">
        <v>298</v>
      </c>
      <c r="B38" s="88" t="s">
        <v>283</v>
      </c>
      <c r="C38" s="88" t="s">
        <v>283</v>
      </c>
      <c r="D38" s="88" t="s">
        <v>283</v>
      </c>
      <c r="E38" s="88" t="s">
        <v>283</v>
      </c>
      <c r="F38" s="88" t="s">
        <v>283</v>
      </c>
      <c r="G38" s="88" t="s">
        <v>283</v>
      </c>
      <c r="H38" s="88" t="s">
        <v>283</v>
      </c>
      <c r="I38" s="88" t="s">
        <v>283</v>
      </c>
      <c r="J38" s="33" t="s">
        <v>283</v>
      </c>
      <c r="K38" s="34">
        <f>IF($B$12="Yes",B82,0)</f>
        <v>0</v>
      </c>
      <c r="L38" s="34">
        <f>IF($B$12="Yes",C82,0)</f>
        <v>0</v>
      </c>
      <c r="M38" s="34">
        <f>IF($B$12="Yes",D82,0)</f>
        <v>0</v>
      </c>
    </row>
    <row r="39" spans="1:13" ht="15">
      <c r="A39" s="99" t="s">
        <v>297</v>
      </c>
      <c r="B39" s="88" t="s">
        <v>13</v>
      </c>
      <c r="C39" s="88" t="s">
        <v>13</v>
      </c>
      <c r="D39" s="88" t="s">
        <v>13</v>
      </c>
      <c r="E39" s="88" t="s">
        <v>13</v>
      </c>
      <c r="F39" s="88" t="s">
        <v>13</v>
      </c>
      <c r="G39" s="88" t="s">
        <v>13</v>
      </c>
      <c r="H39" s="88" t="s">
        <v>13</v>
      </c>
      <c r="I39" s="88" t="s">
        <v>13</v>
      </c>
      <c r="J39" s="33" t="s">
        <v>283</v>
      </c>
      <c r="K39" s="34">
        <f>IF($B$12="Yes",B146,0)</f>
        <v>0</v>
      </c>
      <c r="L39" s="34">
        <f>IF($B$12="Yes",B144,0)</f>
        <v>0</v>
      </c>
      <c r="M39" s="34">
        <f>IF($B$12="Yes",B145,0)</f>
        <v>0</v>
      </c>
    </row>
    <row r="40" spans="1:13" ht="15" hidden="1">
      <c r="A40" s="100" t="s">
        <v>296</v>
      </c>
      <c r="B40" s="88" t="s">
        <v>283</v>
      </c>
      <c r="C40" s="88" t="s">
        <v>283</v>
      </c>
      <c r="D40" s="88" t="s">
        <v>283</v>
      </c>
      <c r="E40" s="88" t="s">
        <v>283</v>
      </c>
      <c r="F40" s="88" t="s">
        <v>283</v>
      </c>
      <c r="G40" s="88" t="s">
        <v>283</v>
      </c>
      <c r="H40" s="88" t="s">
        <v>283</v>
      </c>
      <c r="I40" s="88" t="s">
        <v>283</v>
      </c>
      <c r="J40" s="33" t="s">
        <v>283</v>
      </c>
      <c r="K40" s="34">
        <f>IF($B$12="Yes",B84,0)</f>
        <v>0</v>
      </c>
      <c r="L40" s="34">
        <f>IF($B$12="Yes",C84,0)</f>
        <v>0</v>
      </c>
      <c r="M40" s="34">
        <f>IF($B$12="Yes",D84,0)</f>
        <v>0</v>
      </c>
    </row>
    <row r="41" spans="1:13" ht="15" hidden="1">
      <c r="A41" s="100" t="s">
        <v>295</v>
      </c>
      <c r="B41" s="88" t="s">
        <v>283</v>
      </c>
      <c r="C41" s="88" t="s">
        <v>283</v>
      </c>
      <c r="D41" s="88" t="s">
        <v>283</v>
      </c>
      <c r="E41" s="88" t="s">
        <v>283</v>
      </c>
      <c r="F41" s="88" t="s">
        <v>283</v>
      </c>
      <c r="G41" s="88" t="s">
        <v>283</v>
      </c>
      <c r="H41" s="88" t="s">
        <v>283</v>
      </c>
      <c r="I41" s="88" t="s">
        <v>283</v>
      </c>
      <c r="J41" s="33" t="s">
        <v>283</v>
      </c>
      <c r="K41" s="34">
        <f>IF($B$12="Yes",B85,0)</f>
        <v>0</v>
      </c>
      <c r="L41" s="34">
        <f>IF($B$12="Yes",C85,0)</f>
        <v>0</v>
      </c>
      <c r="M41" s="34">
        <f>IF($B$12="Yes",D85,0)</f>
        <v>0</v>
      </c>
    </row>
    <row r="42" spans="1:13" ht="15">
      <c r="A42" s="99" t="s">
        <v>121</v>
      </c>
      <c r="B42" s="88" t="s">
        <v>13</v>
      </c>
      <c r="C42" s="88" t="s">
        <v>13</v>
      </c>
      <c r="D42" s="88" t="s">
        <v>13</v>
      </c>
      <c r="E42" s="88" t="s">
        <v>13</v>
      </c>
      <c r="F42" s="88" t="s">
        <v>13</v>
      </c>
      <c r="G42" s="88" t="s">
        <v>13</v>
      </c>
      <c r="H42" s="88" t="s">
        <v>13</v>
      </c>
      <c r="I42" s="88" t="s">
        <v>13</v>
      </c>
      <c r="J42" s="33" t="s">
        <v>13</v>
      </c>
      <c r="K42" s="34">
        <f>IF($B$12="Yes",B346,0)</f>
        <v>0</v>
      </c>
      <c r="L42" s="34">
        <f>IF($B$12="Yes",B344,0)</f>
        <v>0</v>
      </c>
      <c r="M42" s="34">
        <f>IF($B$12="Yes",B345,0)</f>
        <v>0</v>
      </c>
    </row>
    <row r="43" spans="1:13" ht="15">
      <c r="A43" s="99" t="s">
        <v>160</v>
      </c>
      <c r="B43" s="88" t="s">
        <v>13</v>
      </c>
      <c r="C43" s="88" t="s">
        <v>13</v>
      </c>
      <c r="D43" s="88" t="s">
        <v>13</v>
      </c>
      <c r="E43" s="88" t="s">
        <v>13</v>
      </c>
      <c r="F43" s="88" t="s">
        <v>13</v>
      </c>
      <c r="G43" s="88" t="s">
        <v>13</v>
      </c>
      <c r="H43" s="88" t="s">
        <v>13</v>
      </c>
      <c r="I43" s="88" t="s">
        <v>13</v>
      </c>
      <c r="J43" s="33" t="s">
        <v>283</v>
      </c>
      <c r="K43" s="34">
        <f>IF($B$12="Yes",B274,0)</f>
        <v>0</v>
      </c>
      <c r="L43" s="34">
        <f>IF($B$12="Yes",B272,0)</f>
        <v>0</v>
      </c>
      <c r="M43" s="34">
        <f>IF($B$12="Yes",B273,0)</f>
        <v>0</v>
      </c>
    </row>
    <row r="44" spans="1:13" ht="15" hidden="1">
      <c r="A44" s="100" t="s">
        <v>294</v>
      </c>
      <c r="B44" s="88" t="s">
        <v>283</v>
      </c>
      <c r="C44" s="88" t="s">
        <v>283</v>
      </c>
      <c r="D44" s="88" t="s">
        <v>286</v>
      </c>
      <c r="E44" s="88" t="s">
        <v>283</v>
      </c>
      <c r="F44" s="88" t="s">
        <v>286</v>
      </c>
      <c r="G44" s="88" t="s">
        <v>283</v>
      </c>
      <c r="H44" s="88" t="s">
        <v>283</v>
      </c>
      <c r="I44" s="88" t="s">
        <v>283</v>
      </c>
      <c r="J44" s="33" t="s">
        <v>283</v>
      </c>
      <c r="K44" s="34">
        <f>IF($B$12="Yes",B88,0)</f>
        <v>0</v>
      </c>
      <c r="L44" s="34">
        <f>IF($B$12="Yes",C88,0)</f>
        <v>0</v>
      </c>
      <c r="M44" s="34">
        <f>IF($B$12="Yes",D88,0)</f>
        <v>0</v>
      </c>
    </row>
    <row r="45" spans="1:13" ht="15">
      <c r="A45" s="99" t="s">
        <v>293</v>
      </c>
      <c r="B45" s="88" t="s">
        <v>13</v>
      </c>
      <c r="C45" s="88" t="s">
        <v>13</v>
      </c>
      <c r="D45" s="88" t="s">
        <v>13</v>
      </c>
      <c r="E45" s="88" t="s">
        <v>13</v>
      </c>
      <c r="F45" s="88" t="s">
        <v>13</v>
      </c>
      <c r="G45" s="88" t="s">
        <v>13</v>
      </c>
      <c r="H45" s="88" t="s">
        <v>13</v>
      </c>
      <c r="I45" s="88" t="s">
        <v>13</v>
      </c>
      <c r="J45" s="33" t="s">
        <v>283</v>
      </c>
      <c r="K45" s="34">
        <f>IF($B$12="Yes",B122,0)</f>
        <v>0</v>
      </c>
      <c r="L45" s="34">
        <f>IF($B$12="Yes",B120,0)</f>
        <v>0</v>
      </c>
      <c r="M45" s="34">
        <f>IF($B$12="Yes",B121,0)</f>
        <v>0</v>
      </c>
    </row>
    <row r="46" spans="1:13" ht="15">
      <c r="A46" s="99" t="s">
        <v>292</v>
      </c>
      <c r="B46" s="88" t="s">
        <v>13</v>
      </c>
      <c r="C46" s="88" t="s">
        <v>13</v>
      </c>
      <c r="D46" s="88" t="s">
        <v>13</v>
      </c>
      <c r="E46" s="88" t="s">
        <v>13</v>
      </c>
      <c r="F46" s="88" t="s">
        <v>13</v>
      </c>
      <c r="G46" s="88" t="s">
        <v>13</v>
      </c>
      <c r="H46" s="88" t="s">
        <v>13</v>
      </c>
      <c r="I46" s="88" t="s">
        <v>13</v>
      </c>
      <c r="J46" s="33" t="s">
        <v>283</v>
      </c>
      <c r="K46" s="34"/>
      <c r="L46" s="34"/>
      <c r="M46" s="34"/>
    </row>
    <row r="47" spans="1:13" ht="15">
      <c r="A47" s="99" t="s">
        <v>112</v>
      </c>
      <c r="B47" s="88" t="s">
        <v>13</v>
      </c>
      <c r="C47" s="88" t="s">
        <v>13</v>
      </c>
      <c r="D47" s="88" t="s">
        <v>13</v>
      </c>
      <c r="E47" s="88" t="s">
        <v>13</v>
      </c>
      <c r="F47" s="88" t="s">
        <v>13</v>
      </c>
      <c r="G47" s="88" t="s">
        <v>13</v>
      </c>
      <c r="H47" s="88" t="s">
        <v>13</v>
      </c>
      <c r="I47" s="88" t="s">
        <v>13</v>
      </c>
      <c r="J47" s="33" t="s">
        <v>13</v>
      </c>
      <c r="K47" s="34">
        <f>IF($B$12="Yes",B361,0)</f>
        <v>0</v>
      </c>
      <c r="L47" s="34">
        <f>IF($B$12="Yes",B359,0)</f>
        <v>0</v>
      </c>
      <c r="M47" s="34">
        <f>IF($B$12="Yes",B360,0)</f>
        <v>0</v>
      </c>
    </row>
    <row r="48" spans="1:13" ht="15">
      <c r="A48" s="99" t="s">
        <v>106</v>
      </c>
      <c r="B48" s="88" t="s">
        <v>13</v>
      </c>
      <c r="C48" s="88" t="s">
        <v>13</v>
      </c>
      <c r="D48" s="88" t="s">
        <v>283</v>
      </c>
      <c r="E48" s="88" t="s">
        <v>283</v>
      </c>
      <c r="F48" s="88" t="s">
        <v>283</v>
      </c>
      <c r="G48" s="88" t="s">
        <v>13</v>
      </c>
      <c r="H48" s="88" t="s">
        <v>13</v>
      </c>
      <c r="I48" s="88" t="s">
        <v>13</v>
      </c>
      <c r="J48" s="33" t="s">
        <v>283</v>
      </c>
      <c r="K48" s="34">
        <f>IF($B$12="Yes",B383,0)</f>
        <v>0</v>
      </c>
      <c r="L48" s="34">
        <f>IF($B$12="Yes",B381,0)</f>
        <v>0</v>
      </c>
      <c r="M48" s="34">
        <f>IF($B$12="Yes",B382,0)</f>
        <v>0</v>
      </c>
    </row>
    <row r="49" spans="1:13" ht="15" hidden="1">
      <c r="A49" s="100" t="s">
        <v>291</v>
      </c>
      <c r="B49" s="88" t="s">
        <v>287</v>
      </c>
      <c r="C49" s="88" t="s">
        <v>287</v>
      </c>
      <c r="D49" s="88" t="s">
        <v>287</v>
      </c>
      <c r="E49" s="88" t="s">
        <v>287</v>
      </c>
      <c r="F49" s="88" t="s">
        <v>287</v>
      </c>
      <c r="G49" s="88" t="s">
        <v>287</v>
      </c>
      <c r="H49" s="88" t="s">
        <v>287</v>
      </c>
      <c r="I49" s="88" t="s">
        <v>287</v>
      </c>
      <c r="J49" s="33" t="s">
        <v>283</v>
      </c>
      <c r="K49" s="34">
        <f>IF($B$12="Yes",B92,0)</f>
        <v>0</v>
      </c>
      <c r="L49" s="34">
        <f>IF($B$12="Yes",C92,0)</f>
        <v>0</v>
      </c>
      <c r="M49" s="34">
        <f>IF($B$12="Yes",D92,0)</f>
        <v>0</v>
      </c>
    </row>
    <row r="50" spans="1:13" ht="15" hidden="1">
      <c r="A50" s="100" t="s">
        <v>290</v>
      </c>
      <c r="B50" s="88" t="s">
        <v>283</v>
      </c>
      <c r="C50" s="88" t="s">
        <v>283</v>
      </c>
      <c r="D50" s="88" t="s">
        <v>283</v>
      </c>
      <c r="E50" s="88" t="s">
        <v>283</v>
      </c>
      <c r="F50" s="88" t="s">
        <v>283</v>
      </c>
      <c r="G50" s="88" t="s">
        <v>283</v>
      </c>
      <c r="H50" s="88" t="s">
        <v>283</v>
      </c>
      <c r="I50" s="88" t="s">
        <v>283</v>
      </c>
      <c r="J50" s="33" t="s">
        <v>283</v>
      </c>
      <c r="K50" s="34">
        <f>IF($B$12="Yes",B93,0)</f>
        <v>0</v>
      </c>
      <c r="L50" s="34">
        <f>IF($B$12="Yes",C93,0)</f>
        <v>0</v>
      </c>
      <c r="M50" s="34">
        <f>IF($B$12="Yes",D93,0)</f>
        <v>0</v>
      </c>
    </row>
    <row r="51" spans="1:13" ht="15" hidden="1">
      <c r="A51" s="100" t="s">
        <v>289</v>
      </c>
      <c r="B51" s="88" t="s">
        <v>287</v>
      </c>
      <c r="C51" s="88" t="s">
        <v>287</v>
      </c>
      <c r="D51" s="88" t="s">
        <v>287</v>
      </c>
      <c r="E51" s="88" t="s">
        <v>287</v>
      </c>
      <c r="F51" s="88" t="s">
        <v>287</v>
      </c>
      <c r="G51" s="88" t="s">
        <v>287</v>
      </c>
      <c r="H51" s="88" t="s">
        <v>287</v>
      </c>
      <c r="I51" s="88" t="s">
        <v>287</v>
      </c>
      <c r="J51" s="33" t="s">
        <v>13</v>
      </c>
      <c r="K51" s="34">
        <f>IF($B$12="Yes",B94,0)</f>
        <v>0</v>
      </c>
      <c r="L51" s="34">
        <f>IF($B$12="Yes",C94,0)</f>
        <v>0</v>
      </c>
      <c r="M51" s="34">
        <f>IF($B$12="Yes",D94,0)</f>
        <v>0</v>
      </c>
    </row>
    <row r="52" spans="1:13" ht="15">
      <c r="A52" s="99" t="s">
        <v>92</v>
      </c>
      <c r="B52" s="88" t="s">
        <v>283</v>
      </c>
      <c r="C52" s="88" t="s">
        <v>283</v>
      </c>
      <c r="D52" s="88" t="s">
        <v>283</v>
      </c>
      <c r="E52" s="88" t="s">
        <v>13</v>
      </c>
      <c r="F52" s="88" t="s">
        <v>13</v>
      </c>
      <c r="G52" s="88" t="s">
        <v>13</v>
      </c>
      <c r="H52" s="88" t="s">
        <v>13</v>
      </c>
      <c r="I52" s="88" t="s">
        <v>283</v>
      </c>
      <c r="J52" s="33" t="s">
        <v>283</v>
      </c>
      <c r="K52" s="34">
        <f>IF($B$12="Yes",B410,0)</f>
        <v>0</v>
      </c>
      <c r="L52" s="34">
        <f>IF($B$12="Yes",B408,0)</f>
        <v>0</v>
      </c>
      <c r="M52" s="34">
        <f>IF($B$12="Yes",B409,0)</f>
        <v>0</v>
      </c>
    </row>
    <row r="53" spans="1:13" ht="15" hidden="1">
      <c r="A53" s="100" t="s">
        <v>288</v>
      </c>
      <c r="B53" s="88" t="s">
        <v>287</v>
      </c>
      <c r="C53" s="88" t="s">
        <v>287</v>
      </c>
      <c r="D53" s="88" t="s">
        <v>287</v>
      </c>
      <c r="E53" s="88" t="s">
        <v>287</v>
      </c>
      <c r="F53" s="88" t="s">
        <v>287</v>
      </c>
      <c r="G53" s="88" t="s">
        <v>287</v>
      </c>
      <c r="H53" s="88" t="s">
        <v>286</v>
      </c>
      <c r="I53" s="88" t="s">
        <v>286</v>
      </c>
      <c r="J53" s="33" t="s">
        <v>283</v>
      </c>
      <c r="K53" s="34">
        <f>IF($B$12="Yes",B96,0)</f>
        <v>0</v>
      </c>
      <c r="L53" s="34">
        <f>IF($B$12="Yes",C96,0)</f>
        <v>0</v>
      </c>
      <c r="M53" s="34">
        <f>IF($B$12="Yes",D96,0)</f>
        <v>0</v>
      </c>
    </row>
    <row r="54" spans="1:13" ht="15">
      <c r="A54" s="99" t="s">
        <v>285</v>
      </c>
      <c r="B54" s="88" t="s">
        <v>13</v>
      </c>
      <c r="C54" s="88" t="s">
        <v>13</v>
      </c>
      <c r="D54" s="88" t="s">
        <v>13</v>
      </c>
      <c r="E54" s="88" t="s">
        <v>13</v>
      </c>
      <c r="F54" s="88" t="s">
        <v>13</v>
      </c>
      <c r="G54" s="88" t="s">
        <v>13</v>
      </c>
      <c r="H54" s="88" t="s">
        <v>13</v>
      </c>
      <c r="I54" s="88" t="s">
        <v>13</v>
      </c>
      <c r="J54" s="33" t="s">
        <v>283</v>
      </c>
      <c r="K54" s="34">
        <f>IF($B$12="Yes",B122,0)</f>
        <v>0</v>
      </c>
      <c r="L54" s="34">
        <f>IF($B$12="Yes",B120,0)</f>
        <v>0</v>
      </c>
      <c r="M54" s="34">
        <f>IF($B$12="Yes",B121,0)</f>
        <v>0</v>
      </c>
    </row>
    <row r="55" spans="1:13" ht="15">
      <c r="A55" s="99" t="s">
        <v>159</v>
      </c>
      <c r="B55" s="88" t="s">
        <v>13</v>
      </c>
      <c r="C55" s="88" t="s">
        <v>13</v>
      </c>
      <c r="D55" s="88" t="s">
        <v>13</v>
      </c>
      <c r="E55" s="88" t="s">
        <v>13</v>
      </c>
      <c r="F55" s="88" t="s">
        <v>13</v>
      </c>
      <c r="G55" s="88" t="s">
        <v>13</v>
      </c>
      <c r="H55" s="88" t="s">
        <v>13</v>
      </c>
      <c r="I55" s="88" t="s">
        <v>13</v>
      </c>
      <c r="J55" s="33" t="s">
        <v>283</v>
      </c>
      <c r="K55" s="34">
        <f>IF($B$12="Yes",B274,0)</f>
        <v>0</v>
      </c>
      <c r="L55" s="34">
        <f>IF($B$12="Yes",B272,0)</f>
        <v>0</v>
      </c>
      <c r="M55" s="34">
        <f>IF($B$12="Yes",B273,0)</f>
        <v>0</v>
      </c>
    </row>
    <row r="56" spans="1:13" ht="15">
      <c r="A56" s="99" t="s">
        <v>81</v>
      </c>
      <c r="B56" s="88" t="s">
        <v>13</v>
      </c>
      <c r="C56" s="88" t="s">
        <v>283</v>
      </c>
      <c r="D56" s="88" t="s">
        <v>283</v>
      </c>
      <c r="E56" s="88" t="s">
        <v>283</v>
      </c>
      <c r="F56" s="88" t="s">
        <v>13</v>
      </c>
      <c r="G56" s="88" t="s">
        <v>283</v>
      </c>
      <c r="H56" s="88" t="s">
        <v>283</v>
      </c>
      <c r="I56" s="88" t="s">
        <v>13</v>
      </c>
      <c r="J56" s="33" t="s">
        <v>283</v>
      </c>
      <c r="K56" s="34">
        <f>IF($B$12="Yes",B442,0)</f>
        <v>0</v>
      </c>
      <c r="L56" s="34">
        <f>IF($B$12="Yes",B440,0)</f>
        <v>0</v>
      </c>
      <c r="M56" s="34">
        <f>IF($B$12="Yes",B441,0)</f>
        <v>0</v>
      </c>
    </row>
    <row r="57" spans="1:13" ht="15">
      <c r="A57" s="99" t="s">
        <v>62</v>
      </c>
      <c r="B57" s="88" t="s">
        <v>283</v>
      </c>
      <c r="C57" s="88" t="s">
        <v>283</v>
      </c>
      <c r="D57" s="88" t="s">
        <v>13</v>
      </c>
      <c r="E57" s="88" t="s">
        <v>13</v>
      </c>
      <c r="F57" s="88" t="s">
        <v>13</v>
      </c>
      <c r="G57" s="88" t="s">
        <v>283</v>
      </c>
      <c r="H57" s="88" t="s">
        <v>13</v>
      </c>
      <c r="I57" s="88" t="s">
        <v>283</v>
      </c>
      <c r="J57" s="33" t="s">
        <v>13</v>
      </c>
      <c r="K57" s="34">
        <f>IF($B$12="Yes",B488,0)</f>
        <v>0</v>
      </c>
      <c r="L57" s="34">
        <f>IF($B$12="Yes",B486,0)</f>
        <v>0</v>
      </c>
      <c r="M57" s="34">
        <f>IF($B$12="Yes",B487,0)</f>
        <v>0</v>
      </c>
    </row>
    <row r="58" spans="1:13" ht="15">
      <c r="A58" s="99" t="s">
        <v>34</v>
      </c>
      <c r="B58" s="88" t="s">
        <v>13</v>
      </c>
      <c r="C58" s="88" t="s">
        <v>13</v>
      </c>
      <c r="D58" s="88" t="s">
        <v>13</v>
      </c>
      <c r="E58" s="88" t="s">
        <v>13</v>
      </c>
      <c r="F58" s="88" t="s">
        <v>13</v>
      </c>
      <c r="G58" s="88" t="s">
        <v>13</v>
      </c>
      <c r="H58" s="88" t="s">
        <v>13</v>
      </c>
      <c r="I58" s="88" t="s">
        <v>13</v>
      </c>
      <c r="J58" s="33" t="s">
        <v>13</v>
      </c>
      <c r="K58" s="34">
        <f>IF($B$12="Yes",B506,0)</f>
        <v>0</v>
      </c>
      <c r="L58" s="34">
        <f>IF($B$12="Yes",B504,0)</f>
        <v>0</v>
      </c>
      <c r="M58" s="34">
        <f>IF($B$12="Yes",B505,0)</f>
        <v>0</v>
      </c>
    </row>
    <row r="59" spans="1:13" ht="15">
      <c r="A59" s="99" t="s">
        <v>284</v>
      </c>
      <c r="B59" s="88" t="s">
        <v>13</v>
      </c>
      <c r="C59" s="88" t="s">
        <v>13</v>
      </c>
      <c r="D59" s="88" t="s">
        <v>13</v>
      </c>
      <c r="E59" s="88" t="s">
        <v>13</v>
      </c>
      <c r="F59" s="88" t="s">
        <v>13</v>
      </c>
      <c r="G59" s="88" t="s">
        <v>13</v>
      </c>
      <c r="H59" s="88" t="s">
        <v>13</v>
      </c>
      <c r="I59" s="88" t="s">
        <v>13</v>
      </c>
      <c r="J59" s="33" t="s">
        <v>283</v>
      </c>
      <c r="K59" s="34">
        <f>IF($B$12="Yes",B274,0)</f>
        <v>0</v>
      </c>
      <c r="L59" s="34">
        <f>IF($B$12="Yes",B272,0)</f>
        <v>0</v>
      </c>
      <c r="M59" s="34">
        <f>IF($B$12="Yes",B273,0)</f>
        <v>0</v>
      </c>
    </row>
    <row r="60" spans="1:13" ht="15">
      <c r="A60" s="98" t="s">
        <v>282</v>
      </c>
      <c r="B60" s="88"/>
      <c r="C60" s="88"/>
      <c r="D60" s="88"/>
      <c r="E60" s="88"/>
      <c r="F60" s="88"/>
      <c r="G60" s="88"/>
      <c r="H60" s="88"/>
      <c r="I60" s="88"/>
      <c r="J60" s="33"/>
      <c r="K60" s="34"/>
      <c r="L60" s="34"/>
      <c r="M60" s="34"/>
    </row>
    <row r="61" spans="1:13" ht="13">
      <c r="A61" s="40"/>
    </row>
    <row r="63" spans="1:13" ht="13">
      <c r="A63" s="40" t="s">
        <v>272</v>
      </c>
    </row>
    <row r="64" spans="1:13" ht="13">
      <c r="A64" s="33" t="s">
        <v>271</v>
      </c>
      <c r="B64" s="89">
        <v>5000</v>
      </c>
      <c r="C64" s="88"/>
    </row>
    <row r="65" spans="1:3" ht="16.5" customHeight="1">
      <c r="A65" s="33" t="s">
        <v>270</v>
      </c>
      <c r="B65" s="87">
        <v>0.15</v>
      </c>
      <c r="C65" s="83"/>
    </row>
    <row r="66" spans="1:3" ht="13">
      <c r="A66" s="33"/>
      <c r="B66" s="79"/>
    </row>
    <row r="67" spans="1:3" ht="13">
      <c r="A67" s="33" t="s">
        <v>269</v>
      </c>
      <c r="B67" s="87">
        <v>0.9</v>
      </c>
    </row>
    <row r="68" spans="1:3" ht="13">
      <c r="A68" s="33" t="s">
        <v>268</v>
      </c>
      <c r="B68" s="86">
        <f>1-B67</f>
        <v>9.9999999999999978E-2</v>
      </c>
    </row>
    <row r="69" spans="1:3" ht="13">
      <c r="A69" s="33"/>
      <c r="B69" s="86"/>
    </row>
    <row r="70" spans="1:3" ht="13">
      <c r="A70" s="33" t="s">
        <v>267</v>
      </c>
      <c r="B70" s="87">
        <v>0.1</v>
      </c>
    </row>
    <row r="71" spans="1:3" ht="13">
      <c r="A71" s="33" t="s">
        <v>266</v>
      </c>
      <c r="B71" s="86">
        <f>1-B70</f>
        <v>0.9</v>
      </c>
    </row>
    <row r="72" spans="1:3" ht="13">
      <c r="A72" s="33"/>
      <c r="B72" s="86"/>
    </row>
    <row r="73" spans="1:3" ht="13">
      <c r="A73" s="33" t="s">
        <v>265</v>
      </c>
      <c r="B73" s="87">
        <v>0.25</v>
      </c>
    </row>
    <row r="74" spans="1:3" ht="13">
      <c r="A74" s="33" t="s">
        <v>264</v>
      </c>
      <c r="B74" s="86">
        <f>1-B73</f>
        <v>0.75</v>
      </c>
    </row>
    <row r="75" spans="1:3" ht="13">
      <c r="A75" s="33"/>
      <c r="B75" s="85"/>
    </row>
    <row r="76" spans="1:3" ht="13">
      <c r="A76" s="33" t="s">
        <v>263</v>
      </c>
      <c r="B76" s="85"/>
    </row>
    <row r="77" spans="1:3" ht="13">
      <c r="A77" s="33" t="s">
        <v>261</v>
      </c>
      <c r="B77" s="52">
        <v>800</v>
      </c>
    </row>
    <row r="78" spans="1:3" ht="13">
      <c r="A78" s="33" t="s">
        <v>260</v>
      </c>
      <c r="B78" s="52">
        <v>400</v>
      </c>
    </row>
    <row r="79" spans="1:3" ht="13">
      <c r="A79" s="33"/>
      <c r="B79" s="85"/>
    </row>
    <row r="80" spans="1:3" ht="13">
      <c r="A80" s="33" t="s">
        <v>262</v>
      </c>
      <c r="B80" s="85"/>
    </row>
    <row r="81" spans="1:2" ht="13">
      <c r="A81" s="33" t="s">
        <v>261</v>
      </c>
      <c r="B81" s="46">
        <v>2500</v>
      </c>
    </row>
    <row r="82" spans="1:2" ht="13">
      <c r="A82" s="33" t="s">
        <v>260</v>
      </c>
      <c r="B82" s="46">
        <v>800</v>
      </c>
    </row>
    <row r="83" spans="1:2" ht="13">
      <c r="A83" s="33"/>
    </row>
    <row r="84" spans="1:2" ht="13">
      <c r="A84" s="33"/>
    </row>
    <row r="85" spans="1:2" ht="13">
      <c r="A85" s="33" t="s">
        <v>220</v>
      </c>
      <c r="B85" s="34">
        <f>IF(AND(B6="Yes",B7="Yes"),(B64*B65*B67*B70*B77)+(B64*B65*B67*B71*B78)+(B64*B65*B68*B73*B81)+(B64*B65*B68*B74*B82),0)</f>
        <v>388875</v>
      </c>
    </row>
    <row r="86" spans="1:2" ht="13">
      <c r="A86" s="32" t="s">
        <v>218</v>
      </c>
      <c r="B86" s="31">
        <f>B85*B10</f>
        <v>97218.75</v>
      </c>
    </row>
    <row r="87" spans="1:2" ht="13">
      <c r="A87" s="32" t="s">
        <v>157</v>
      </c>
      <c r="B87" s="31">
        <f>-PV($B$9,$B$8,B86)</f>
        <v>750697.41764668608</v>
      </c>
    </row>
    <row r="89" spans="1:2" ht="13">
      <c r="A89" s="40" t="s">
        <v>259</v>
      </c>
    </row>
    <row r="90" spans="1:2" ht="13">
      <c r="A90" s="33" t="s">
        <v>258</v>
      </c>
      <c r="B90" s="47">
        <v>81</v>
      </c>
    </row>
    <row r="91" spans="1:2" ht="13">
      <c r="A91" s="33" t="s">
        <v>257</v>
      </c>
      <c r="B91" s="36">
        <v>40000</v>
      </c>
    </row>
    <row r="92" spans="1:2" ht="13">
      <c r="A92" s="33" t="s">
        <v>256</v>
      </c>
      <c r="B92" s="84">
        <v>0.125</v>
      </c>
    </row>
    <row r="93" spans="1:2" ht="13">
      <c r="A93" s="33" t="s">
        <v>255</v>
      </c>
      <c r="B93" s="47">
        <v>1.5</v>
      </c>
    </row>
    <row r="94" spans="1:2" ht="13">
      <c r="A94" s="33" t="s">
        <v>254</v>
      </c>
      <c r="B94" s="41">
        <f>B90*B91*B92*B93</f>
        <v>607500</v>
      </c>
    </row>
    <row r="95" spans="1:2" ht="13">
      <c r="A95" s="33" t="s">
        <v>253</v>
      </c>
    </row>
    <row r="96" spans="1:2" ht="13">
      <c r="A96" s="45" t="s">
        <v>179</v>
      </c>
      <c r="B96" s="67">
        <v>2</v>
      </c>
    </row>
    <row r="97" spans="1:2" ht="13">
      <c r="A97" s="45" t="s">
        <v>178</v>
      </c>
      <c r="B97" s="67">
        <v>3</v>
      </c>
    </row>
    <row r="98" spans="1:2" ht="13">
      <c r="A98" s="45" t="s">
        <v>177</v>
      </c>
      <c r="B98" s="67">
        <v>13</v>
      </c>
    </row>
    <row r="99" spans="1:2" ht="13">
      <c r="A99" s="45" t="s">
        <v>176</v>
      </c>
      <c r="B99" s="67">
        <v>6</v>
      </c>
    </row>
    <row r="100" spans="1:2" ht="13">
      <c r="A100" s="45" t="s">
        <v>175</v>
      </c>
      <c r="B100" s="67">
        <v>9</v>
      </c>
    </row>
    <row r="101" spans="1:2" ht="13">
      <c r="A101" s="45" t="s">
        <v>174</v>
      </c>
      <c r="B101" s="67">
        <v>2</v>
      </c>
    </row>
    <row r="102" spans="1:2" ht="13">
      <c r="A102" s="45" t="s">
        <v>173</v>
      </c>
      <c r="B102" s="67">
        <v>1</v>
      </c>
    </row>
    <row r="103" spans="1:2" ht="13">
      <c r="A103" s="45" t="s">
        <v>172</v>
      </c>
      <c r="B103" s="67">
        <v>1.6</v>
      </c>
    </row>
    <row r="104" spans="1:2" ht="13">
      <c r="A104" s="45" t="s">
        <v>171</v>
      </c>
      <c r="B104" s="67">
        <v>10</v>
      </c>
    </row>
    <row r="105" spans="1:2" ht="13">
      <c r="A105" s="45" t="s">
        <v>170</v>
      </c>
      <c r="B105" s="67">
        <v>11</v>
      </c>
    </row>
    <row r="107" spans="1:2" ht="13">
      <c r="A107" s="33" t="s">
        <v>231</v>
      </c>
    </row>
    <row r="108" spans="1:2" ht="13">
      <c r="A108" s="45" t="s">
        <v>179</v>
      </c>
      <c r="B108" s="44">
        <v>0.1</v>
      </c>
    </row>
    <row r="109" spans="1:2" ht="13">
      <c r="A109" s="45" t="s">
        <v>178</v>
      </c>
      <c r="B109" s="44">
        <v>0.05</v>
      </c>
    </row>
    <row r="110" spans="1:2" ht="13">
      <c r="A110" s="45" t="s">
        <v>177</v>
      </c>
      <c r="B110" s="44">
        <v>0.05</v>
      </c>
    </row>
    <row r="111" spans="1:2" ht="13">
      <c r="A111" s="45" t="s">
        <v>176</v>
      </c>
      <c r="B111" s="44">
        <v>0.15</v>
      </c>
    </row>
    <row r="112" spans="1:2" ht="13">
      <c r="A112" s="45" t="s">
        <v>175</v>
      </c>
      <c r="B112" s="44">
        <v>0.12</v>
      </c>
    </row>
    <row r="113" spans="1:7" ht="13">
      <c r="A113" s="45" t="s">
        <v>174</v>
      </c>
      <c r="B113" s="44">
        <v>0.08</v>
      </c>
    </row>
    <row r="114" spans="1:7" ht="13">
      <c r="A114" s="45" t="s">
        <v>173</v>
      </c>
      <c r="B114" s="44">
        <v>0.2</v>
      </c>
    </row>
    <row r="115" spans="1:7" ht="13">
      <c r="A115" s="45" t="s">
        <v>172</v>
      </c>
      <c r="B115" s="44">
        <v>0.1</v>
      </c>
    </row>
    <row r="116" spans="1:7" ht="13">
      <c r="A116" s="45" t="s">
        <v>171</v>
      </c>
      <c r="B116" s="44">
        <v>0.1</v>
      </c>
    </row>
    <row r="117" spans="1:7" ht="13">
      <c r="A117" s="45" t="s">
        <v>170</v>
      </c>
      <c r="B117" s="44">
        <v>0.05</v>
      </c>
    </row>
    <row r="119" spans="1:7" ht="13">
      <c r="A119" s="33" t="s">
        <v>204</v>
      </c>
      <c r="B119">
        <f ca="1">IFERROR(__xludf.DUMMYFUNCTION("AVERAGE.WEIGHTED(B104:B113,B116:B125)"),5.05)</f>
        <v>5.05</v>
      </c>
    </row>
    <row r="120" spans="1:7" ht="13">
      <c r="A120" s="33" t="s">
        <v>115</v>
      </c>
      <c r="B120" s="34">
        <f ca="1">IF(AND(B6="Yes",B7="Yes"),B94*B119,0)</f>
        <v>3067875</v>
      </c>
    </row>
    <row r="121" spans="1:7" ht="13">
      <c r="A121" s="32" t="s">
        <v>114</v>
      </c>
      <c r="B121" s="31">
        <f ca="1">B120*$B$10</f>
        <v>766968.75</v>
      </c>
    </row>
    <row r="122" spans="1:7" ht="13">
      <c r="A122" s="32" t="s">
        <v>157</v>
      </c>
      <c r="B122" s="31">
        <f ca="1">-PV($B$9,$B$8,B121)</f>
        <v>5922329.3864682149</v>
      </c>
    </row>
    <row r="123" spans="1:7" ht="13">
      <c r="A123" s="40"/>
      <c r="B123" s="57" t="s">
        <v>105</v>
      </c>
      <c r="C123" s="57"/>
      <c r="D123" s="57"/>
      <c r="E123" s="57"/>
      <c r="F123" s="57"/>
    </row>
    <row r="124" spans="1:7" ht="13">
      <c r="A124" s="40" t="s">
        <v>252</v>
      </c>
      <c r="B124" s="55">
        <v>1</v>
      </c>
      <c r="C124" s="55">
        <f>B124+1</f>
        <v>2</v>
      </c>
      <c r="D124" s="55">
        <f>C124+1</f>
        <v>3</v>
      </c>
      <c r="E124" s="55">
        <f>D124+1</f>
        <v>4</v>
      </c>
      <c r="F124" s="55">
        <f>E124+1</f>
        <v>5</v>
      </c>
    </row>
    <row r="125" spans="1:7" ht="13">
      <c r="A125" s="80" t="s">
        <v>251</v>
      </c>
      <c r="B125" s="59">
        <v>10</v>
      </c>
      <c r="C125" s="60">
        <v>2</v>
      </c>
      <c r="D125" s="59">
        <v>9</v>
      </c>
      <c r="E125" s="59"/>
      <c r="F125" s="59"/>
      <c r="G125" s="83"/>
    </row>
    <row r="126" spans="1:7" ht="13">
      <c r="A126" s="82" t="s">
        <v>250</v>
      </c>
      <c r="B126" s="59">
        <v>15</v>
      </c>
      <c r="C126" s="60">
        <v>5</v>
      </c>
      <c r="D126" s="59"/>
      <c r="E126" s="59">
        <v>5</v>
      </c>
      <c r="F126" s="59">
        <v>10</v>
      </c>
    </row>
    <row r="127" spans="1:7" ht="13">
      <c r="A127" s="82" t="s">
        <v>249</v>
      </c>
      <c r="B127" s="59">
        <v>12</v>
      </c>
      <c r="C127" s="60">
        <v>3</v>
      </c>
      <c r="D127" s="59">
        <v>4</v>
      </c>
      <c r="E127" s="59">
        <v>6</v>
      </c>
      <c r="F127" s="59"/>
    </row>
    <row r="128" spans="1:7" ht="13">
      <c r="A128" s="82" t="s">
        <v>248</v>
      </c>
      <c r="B128" s="59">
        <v>20</v>
      </c>
      <c r="C128" s="60">
        <v>4</v>
      </c>
      <c r="D128" s="59"/>
      <c r="E128" s="59"/>
      <c r="F128" s="59"/>
    </row>
    <row r="129" spans="1:8" ht="13">
      <c r="A129" s="81"/>
      <c r="B129" s="54"/>
      <c r="C129" s="53"/>
      <c r="D129" s="54"/>
      <c r="E129" s="54"/>
      <c r="F129" s="54"/>
    </row>
    <row r="130" spans="1:8" ht="13">
      <c r="A130" s="80" t="s">
        <v>247</v>
      </c>
      <c r="B130" s="52">
        <v>18000</v>
      </c>
      <c r="C130" s="52">
        <v>18000</v>
      </c>
      <c r="D130" s="52">
        <v>18000</v>
      </c>
      <c r="E130" s="52">
        <v>18000</v>
      </c>
      <c r="F130" s="52">
        <v>18000</v>
      </c>
    </row>
    <row r="131" spans="1:8" ht="13">
      <c r="A131" s="80" t="s">
        <v>246</v>
      </c>
      <c r="B131" s="52">
        <v>30000</v>
      </c>
      <c r="C131" s="52">
        <v>30000</v>
      </c>
      <c r="D131" s="52">
        <v>30000</v>
      </c>
      <c r="E131" s="52">
        <v>30000</v>
      </c>
      <c r="F131" s="52">
        <v>30000</v>
      </c>
    </row>
    <row r="132" spans="1:8" ht="13">
      <c r="A132" s="80" t="s">
        <v>245</v>
      </c>
      <c r="B132" s="52">
        <v>45000</v>
      </c>
      <c r="C132" s="52">
        <v>45000</v>
      </c>
      <c r="D132" s="52">
        <v>45000</v>
      </c>
      <c r="E132" s="52">
        <v>45000</v>
      </c>
      <c r="F132" s="52">
        <v>45000</v>
      </c>
    </row>
    <row r="133" spans="1:8" ht="13">
      <c r="A133" s="80" t="s">
        <v>244</v>
      </c>
      <c r="B133" s="52">
        <v>60000</v>
      </c>
      <c r="C133" s="52">
        <v>60000</v>
      </c>
      <c r="D133" s="52">
        <v>60000</v>
      </c>
      <c r="E133" s="52">
        <v>60000</v>
      </c>
      <c r="F133" s="52">
        <v>60000</v>
      </c>
    </row>
    <row r="134" spans="1:8" ht="13">
      <c r="B134" s="79"/>
      <c r="C134" s="78"/>
      <c r="D134" s="78"/>
      <c r="E134" s="78"/>
      <c r="F134" s="78"/>
    </row>
    <row r="135" spans="1:8" ht="13">
      <c r="A135" s="33" t="s">
        <v>243</v>
      </c>
      <c r="B135" s="51">
        <f>IF(AND($B$6="Yes",$B$7="Yes"),SUMPRODUCT(B125:B128,B130:B133),0)</f>
        <v>2370000</v>
      </c>
      <c r="C135" s="51">
        <f>IF(AND($B$6="Yes",$B$7="Yes"),SUMPRODUCT(C125:C128,C130:C133),0)</f>
        <v>561000</v>
      </c>
      <c r="D135" s="51">
        <f>IF(AND($B$6="Yes",$B$7="Yes"),SUMPRODUCT(D125:D128,D130:D133),0)</f>
        <v>342000</v>
      </c>
      <c r="E135" s="51">
        <f>IF(AND($B$6="Yes",$B$7="Yes"),SUMPRODUCT(E125:E128,E130:E133),0)</f>
        <v>420000</v>
      </c>
      <c r="F135" s="51">
        <f>IF(AND($B$6="Yes",$B$7="Yes"),SUMPRODUCT(F125:F128,F130:F133),0)</f>
        <v>300000</v>
      </c>
    </row>
    <row r="136" spans="1:8" ht="13">
      <c r="A136" s="33" t="s">
        <v>242</v>
      </c>
      <c r="B136" s="51">
        <f>B135/(1+$B$9)^B124</f>
        <v>2257142.8571428573</v>
      </c>
      <c r="C136" s="51">
        <f>C135/(1+$B$9)^C124</f>
        <v>508843.53741496598</v>
      </c>
      <c r="D136" s="51">
        <f>D135/(1+$B$9)^D124</f>
        <v>295432.45869776479</v>
      </c>
      <c r="E136" s="51">
        <f>E135/(1+$B$9)^E124</f>
        <v>345535.03941259044</v>
      </c>
      <c r="F136" s="51">
        <f>F135/(1+$B$9)^F124</f>
        <v>235057.84994053768</v>
      </c>
    </row>
    <row r="137" spans="1:8" ht="13">
      <c r="A137" s="33" t="s">
        <v>115</v>
      </c>
      <c r="B137" s="77">
        <f>SUM(B135:F135)</f>
        <v>3993000</v>
      </c>
      <c r="C137" s="51"/>
      <c r="D137" s="51"/>
      <c r="E137" s="51"/>
      <c r="F137" s="51"/>
    </row>
    <row r="138" spans="1:8" ht="13">
      <c r="A138" s="32" t="s">
        <v>114</v>
      </c>
      <c r="B138" s="76">
        <f>B137*B10</f>
        <v>998250</v>
      </c>
      <c r="D138" s="49"/>
      <c r="E138" s="49"/>
      <c r="F138" s="49"/>
      <c r="G138" s="49"/>
      <c r="H138" s="49"/>
    </row>
    <row r="139" spans="1:8" ht="13">
      <c r="A139" s="32" t="s">
        <v>122</v>
      </c>
      <c r="B139" s="75">
        <f>SUM(B136:F136)</f>
        <v>3642011.7426087158</v>
      </c>
    </row>
    <row r="141" spans="1:8" ht="13">
      <c r="A141" s="40" t="s">
        <v>241</v>
      </c>
      <c r="D141" s="51"/>
      <c r="E141" s="51"/>
      <c r="F141" s="51"/>
      <c r="G141" s="51"/>
      <c r="H141" s="51"/>
    </row>
    <row r="142" spans="1:8" ht="13">
      <c r="A142" s="33" t="s">
        <v>240</v>
      </c>
      <c r="B142" s="47">
        <v>100</v>
      </c>
      <c r="D142" s="74"/>
      <c r="E142" s="51"/>
      <c r="F142" s="51"/>
      <c r="G142" s="51"/>
      <c r="H142" s="51"/>
    </row>
    <row r="143" spans="1:8" ht="13">
      <c r="A143" s="33" t="s">
        <v>239</v>
      </c>
      <c r="B143" s="46">
        <v>65</v>
      </c>
      <c r="C143" s="73"/>
    </row>
    <row r="144" spans="1:8" ht="13">
      <c r="A144" s="33" t="s">
        <v>115</v>
      </c>
      <c r="B144" s="34">
        <f>IF(AND(B6="Yes",B7="Yes"),B142*B143*12,0)</f>
        <v>78000</v>
      </c>
    </row>
    <row r="145" spans="1:2" ht="13">
      <c r="A145" s="32" t="s">
        <v>114</v>
      </c>
      <c r="B145" s="31">
        <f>B144*$B$10</f>
        <v>19500</v>
      </c>
    </row>
    <row r="146" spans="1:2" ht="13">
      <c r="A146" s="32" t="s">
        <v>157</v>
      </c>
      <c r="B146" s="31">
        <f>-PV($B$9,$B$8,B145)</f>
        <v>150573.83111910385</v>
      </c>
    </row>
    <row r="147" spans="1:2" ht="13">
      <c r="A147" s="40"/>
    </row>
    <row r="148" spans="1:2" ht="13">
      <c r="A148" s="72" t="s">
        <v>238</v>
      </c>
    </row>
    <row r="149" spans="1:2" ht="13">
      <c r="A149" s="33" t="s">
        <v>237</v>
      </c>
      <c r="B149" s="47" t="s">
        <v>13</v>
      </c>
    </row>
    <row r="150" spans="1:2" ht="13">
      <c r="A150" s="33" t="s">
        <v>236</v>
      </c>
      <c r="B150" s="46">
        <v>125000</v>
      </c>
    </row>
    <row r="151" spans="1:2" ht="13">
      <c r="A151" s="33" t="s">
        <v>235</v>
      </c>
      <c r="B151" s="47">
        <v>2</v>
      </c>
    </row>
    <row r="152" spans="1:2" ht="13">
      <c r="A152" s="33" t="s">
        <v>234</v>
      </c>
      <c r="B152" s="47">
        <v>350</v>
      </c>
    </row>
    <row r="153" spans="1:2" ht="13">
      <c r="A153" s="33" t="s">
        <v>233</v>
      </c>
      <c r="B153" s="44">
        <v>0.1</v>
      </c>
    </row>
    <row r="154" spans="1:2" ht="13">
      <c r="A154" s="33" t="s">
        <v>232</v>
      </c>
    </row>
    <row r="155" spans="1:2" ht="13">
      <c r="A155" s="33" t="s">
        <v>230</v>
      </c>
      <c r="B155" s="67">
        <v>1800</v>
      </c>
    </row>
    <row r="156" spans="1:2" ht="13">
      <c r="A156" s="33" t="s">
        <v>229</v>
      </c>
      <c r="B156" s="67">
        <v>400</v>
      </c>
    </row>
    <row r="157" spans="1:2" ht="13">
      <c r="A157" s="33" t="s">
        <v>228</v>
      </c>
      <c r="B157" s="67">
        <v>75</v>
      </c>
    </row>
    <row r="158" spans="1:2" ht="13">
      <c r="A158" s="33" t="s">
        <v>227</v>
      </c>
      <c r="B158" s="67">
        <v>87</v>
      </c>
    </row>
    <row r="159" spans="1:2" ht="13">
      <c r="A159" s="33" t="s">
        <v>226</v>
      </c>
      <c r="B159" s="67">
        <v>0</v>
      </c>
    </row>
    <row r="160" spans="1:2" ht="13">
      <c r="A160" s="33" t="s">
        <v>225</v>
      </c>
      <c r="B160" s="67">
        <v>0</v>
      </c>
    </row>
    <row r="161" spans="1:2" ht="13">
      <c r="A161" s="33" t="s">
        <v>224</v>
      </c>
      <c r="B161" s="67">
        <v>0</v>
      </c>
    </row>
    <row r="162" spans="1:2" ht="13">
      <c r="A162" s="33" t="s">
        <v>223</v>
      </c>
      <c r="B162" s="67">
        <v>0</v>
      </c>
    </row>
    <row r="163" spans="1:2" ht="13">
      <c r="A163" s="33" t="s">
        <v>222</v>
      </c>
      <c r="B163" s="67">
        <v>0</v>
      </c>
    </row>
    <row r="164" spans="1:2" ht="13">
      <c r="A164" s="33" t="s">
        <v>221</v>
      </c>
      <c r="B164" s="67">
        <v>0</v>
      </c>
    </row>
    <row r="166" spans="1:2" ht="13">
      <c r="A166" s="33" t="s">
        <v>231</v>
      </c>
    </row>
    <row r="167" spans="1:2" ht="13">
      <c r="A167" s="33" t="s">
        <v>230</v>
      </c>
      <c r="B167" s="44">
        <v>0.25</v>
      </c>
    </row>
    <row r="168" spans="1:2" ht="13">
      <c r="A168" s="33" t="s">
        <v>229</v>
      </c>
      <c r="B168" s="44">
        <v>0.25</v>
      </c>
    </row>
    <row r="169" spans="1:2" ht="13">
      <c r="A169" s="33" t="s">
        <v>228</v>
      </c>
      <c r="B169" s="44">
        <v>0.25</v>
      </c>
    </row>
    <row r="170" spans="1:2" ht="13">
      <c r="A170" s="33" t="s">
        <v>227</v>
      </c>
      <c r="B170" s="44">
        <v>0.25</v>
      </c>
    </row>
    <row r="171" spans="1:2" ht="13">
      <c r="A171" s="33" t="s">
        <v>226</v>
      </c>
      <c r="B171" s="44">
        <v>0</v>
      </c>
    </row>
    <row r="172" spans="1:2" ht="13">
      <c r="A172" s="33" t="s">
        <v>225</v>
      </c>
      <c r="B172" s="44">
        <v>0</v>
      </c>
    </row>
    <row r="173" spans="1:2" ht="13">
      <c r="A173" s="33" t="s">
        <v>224</v>
      </c>
      <c r="B173" s="44">
        <v>0</v>
      </c>
    </row>
    <row r="174" spans="1:2" ht="13">
      <c r="A174" s="33" t="s">
        <v>223</v>
      </c>
      <c r="B174" s="44">
        <v>0</v>
      </c>
    </row>
    <row r="175" spans="1:2" ht="13">
      <c r="A175" s="33" t="s">
        <v>222</v>
      </c>
      <c r="B175" s="44">
        <v>0</v>
      </c>
    </row>
    <row r="176" spans="1:2" ht="13">
      <c r="A176" s="33" t="s">
        <v>221</v>
      </c>
      <c r="B176" s="44">
        <v>0</v>
      </c>
    </row>
    <row r="178" spans="1:3" ht="13">
      <c r="A178" s="33" t="s">
        <v>204</v>
      </c>
      <c r="B178" s="34">
        <f ca="1">IFERROR(__xludf.DUMMYFUNCTION("AVERAGE.WEIGHTED(B162:B171,B174:B183)"),590.5)</f>
        <v>590.5</v>
      </c>
    </row>
    <row r="179" spans="1:3" ht="13">
      <c r="A179" s="33" t="s">
        <v>220</v>
      </c>
      <c r="B179" s="34">
        <f ca="1">IF(AND(B6="Yes",B7="Yes"),B152*B153*B178,0)</f>
        <v>20667.5</v>
      </c>
    </row>
    <row r="180" spans="1:3" ht="13">
      <c r="A180" s="33" t="s">
        <v>219</v>
      </c>
      <c r="B180" s="34">
        <f>IF(AND(B6="Yes",B7="Yes"),B150/(1+$B$9)^B151,0)</f>
        <v>113378.68480725623</v>
      </c>
      <c r="C180" s="61"/>
    </row>
    <row r="181" spans="1:3" ht="13">
      <c r="A181" s="33" t="s">
        <v>218</v>
      </c>
      <c r="B181" s="31">
        <f ca="1">B179*B10</f>
        <v>5166.875</v>
      </c>
    </row>
    <row r="182" spans="1:3" ht="13">
      <c r="A182" s="33" t="s">
        <v>217</v>
      </c>
      <c r="B182" s="31">
        <f>B180*B10</f>
        <v>28344.671201814057</v>
      </c>
    </row>
    <row r="183" spans="1:3" ht="13">
      <c r="A183" s="32" t="s">
        <v>21</v>
      </c>
      <c r="B183" s="31">
        <f ca="1">-PV($B$9,$B$8,B181)+B182</f>
        <v>68241.910364045834</v>
      </c>
    </row>
    <row r="184" spans="1:3" ht="13">
      <c r="A184" s="40"/>
    </row>
    <row r="185" spans="1:3" ht="13">
      <c r="A185" s="40" t="s">
        <v>216</v>
      </c>
    </row>
    <row r="186" spans="1:3" ht="13">
      <c r="A186" s="33" t="s">
        <v>215</v>
      </c>
      <c r="B186" s="36">
        <v>150000</v>
      </c>
    </row>
    <row r="187" spans="1:3" ht="13">
      <c r="A187" s="33" t="s">
        <v>214</v>
      </c>
      <c r="B187" s="44">
        <v>0.25</v>
      </c>
    </row>
    <row r="188" spans="1:3" ht="13">
      <c r="A188" s="33" t="s">
        <v>213</v>
      </c>
      <c r="B188" s="41">
        <f>B186*B187</f>
        <v>37500</v>
      </c>
    </row>
    <row r="189" spans="1:3" ht="13">
      <c r="A189" s="33"/>
      <c r="B189" s="48"/>
    </row>
    <row r="190" spans="1:3" ht="13">
      <c r="A190" s="33" t="s">
        <v>212</v>
      </c>
      <c r="B190" s="44">
        <v>0.3</v>
      </c>
    </row>
    <row r="191" spans="1:3" ht="13">
      <c r="A191" s="33" t="s">
        <v>211</v>
      </c>
      <c r="B191" s="44">
        <v>0.45</v>
      </c>
    </row>
    <row r="192" spans="1:3" ht="13">
      <c r="A192" s="33" t="s">
        <v>210</v>
      </c>
      <c r="B192" s="44">
        <v>0.2</v>
      </c>
    </row>
    <row r="193" spans="1:2" ht="13">
      <c r="A193" s="33" t="s">
        <v>209</v>
      </c>
      <c r="B193" s="44">
        <v>0.05</v>
      </c>
    </row>
    <row r="195" spans="1:2" ht="13">
      <c r="A195" s="33" t="s">
        <v>208</v>
      </c>
      <c r="B195" s="46">
        <v>1</v>
      </c>
    </row>
    <row r="196" spans="1:2" ht="13">
      <c r="A196" s="33" t="s">
        <v>207</v>
      </c>
      <c r="B196" s="46">
        <v>2</v>
      </c>
    </row>
    <row r="197" spans="1:2" ht="13">
      <c r="A197" s="33" t="s">
        <v>206</v>
      </c>
      <c r="B197" s="46">
        <v>5</v>
      </c>
    </row>
    <row r="198" spans="1:2" ht="13">
      <c r="A198" s="33" t="s">
        <v>205</v>
      </c>
      <c r="B198" s="46">
        <v>15</v>
      </c>
    </row>
    <row r="200" spans="1:2" ht="13">
      <c r="A200" s="33" t="s">
        <v>204</v>
      </c>
      <c r="B200" s="71">
        <f ca="1">IFERROR(__xludf.DUMMYFUNCTION("AVERAGE.WEIGHTED(B202:B205,B197:B200)"),2.95)</f>
        <v>2.95</v>
      </c>
    </row>
    <row r="201" spans="1:2" ht="13">
      <c r="A201" s="33" t="s">
        <v>115</v>
      </c>
      <c r="B201" s="34">
        <f ca="1">IF(AND(B6="Yes",B7="Yes"),B200*B188,0)</f>
        <v>110625</v>
      </c>
    </row>
    <row r="202" spans="1:2" ht="13">
      <c r="A202" s="32" t="s">
        <v>114</v>
      </c>
      <c r="B202" s="31">
        <f ca="1">B201*B10</f>
        <v>27656.25</v>
      </c>
    </row>
    <row r="203" spans="1:2" ht="13">
      <c r="A203" s="32" t="s">
        <v>157</v>
      </c>
      <c r="B203" s="31">
        <f ca="1">-PV($B$9,$B$8,B202)</f>
        <v>213554.23163526747</v>
      </c>
    </row>
    <row r="205" spans="1:2" ht="13">
      <c r="A205" s="40" t="s">
        <v>203</v>
      </c>
    </row>
    <row r="206" spans="1:2" ht="13">
      <c r="A206" s="33" t="s">
        <v>202</v>
      </c>
    </row>
    <row r="207" spans="1:2" ht="13">
      <c r="A207" s="45" t="s">
        <v>201</v>
      </c>
      <c r="B207" s="67">
        <v>59</v>
      </c>
    </row>
    <row r="208" spans="1:2" ht="13">
      <c r="A208" s="45" t="s">
        <v>200</v>
      </c>
      <c r="B208" s="67">
        <v>35</v>
      </c>
    </row>
    <row r="209" spans="1:3" ht="13">
      <c r="A209" s="45" t="s">
        <v>199</v>
      </c>
      <c r="B209" s="67">
        <v>100</v>
      </c>
    </row>
    <row r="210" spans="1:3" ht="13">
      <c r="A210" s="45" t="s">
        <v>198</v>
      </c>
      <c r="B210" s="67">
        <v>0</v>
      </c>
    </row>
    <row r="211" spans="1:3" ht="13">
      <c r="A211" s="45" t="s">
        <v>197</v>
      </c>
      <c r="B211" s="67">
        <v>0</v>
      </c>
    </row>
    <row r="212" spans="1:3" ht="13">
      <c r="A212" s="45" t="s">
        <v>196</v>
      </c>
      <c r="B212" s="67">
        <v>0</v>
      </c>
    </row>
    <row r="213" spans="1:3" ht="13">
      <c r="A213" s="45" t="s">
        <v>195</v>
      </c>
      <c r="B213" s="67">
        <v>0</v>
      </c>
    </row>
    <row r="214" spans="1:3" ht="13">
      <c r="A214" s="45" t="s">
        <v>194</v>
      </c>
      <c r="B214" s="67">
        <v>0</v>
      </c>
    </row>
    <row r="215" spans="1:3" ht="13">
      <c r="A215" s="45" t="s">
        <v>193</v>
      </c>
      <c r="B215" s="67">
        <v>0</v>
      </c>
    </row>
    <row r="216" spans="1:3" ht="13">
      <c r="A216" s="45" t="s">
        <v>192</v>
      </c>
      <c r="B216" s="67">
        <v>0</v>
      </c>
    </row>
    <row r="217" spans="1:3" ht="13">
      <c r="A217" s="33" t="s">
        <v>191</v>
      </c>
      <c r="B217" s="71">
        <f>SUM(B207:B216)</f>
        <v>194</v>
      </c>
    </row>
    <row r="218" spans="1:3" ht="13">
      <c r="A218" s="33"/>
      <c r="B218" s="33"/>
      <c r="C218" s="33"/>
    </row>
    <row r="219" spans="1:3" ht="13">
      <c r="A219" s="33" t="s">
        <v>190</v>
      </c>
      <c r="B219" s="45" t="s">
        <v>13</v>
      </c>
      <c r="C219" s="33" t="s">
        <v>189</v>
      </c>
    </row>
    <row r="220" spans="1:3" ht="13">
      <c r="A220" s="33" t="s">
        <v>188</v>
      </c>
      <c r="B220" s="70">
        <v>75000</v>
      </c>
    </row>
    <row r="221" spans="1:3" ht="13">
      <c r="A221" s="33" t="s">
        <v>187</v>
      </c>
      <c r="B221" s="46">
        <v>50</v>
      </c>
    </row>
    <row r="222" spans="1:3" ht="13">
      <c r="A222" s="33" t="s">
        <v>186</v>
      </c>
      <c r="B222" s="46">
        <f>B220*B221</f>
        <v>3750000</v>
      </c>
    </row>
    <row r="223" spans="1:3" ht="13">
      <c r="A223" s="33" t="s">
        <v>185</v>
      </c>
      <c r="B223" s="69">
        <v>2.9000000000000001E-2</v>
      </c>
    </row>
    <row r="224" spans="1:3" ht="13">
      <c r="A224" s="33" t="s">
        <v>184</v>
      </c>
      <c r="B224" s="68">
        <v>0.3</v>
      </c>
    </row>
    <row r="225" spans="1:6" ht="13">
      <c r="A225" s="33" t="s">
        <v>183</v>
      </c>
      <c r="B225" s="34">
        <f>(B220*B224)+(B222*B223)</f>
        <v>131250</v>
      </c>
    </row>
    <row r="226" spans="1:6" ht="13">
      <c r="A226" s="33" t="s">
        <v>115</v>
      </c>
      <c r="B226" s="34">
        <f>IF(AND(B6="Yes",B7="Yes"),B225*12,0)</f>
        <v>1575000</v>
      </c>
    </row>
    <row r="227" spans="1:6" ht="13">
      <c r="A227" s="32" t="s">
        <v>114</v>
      </c>
      <c r="B227" s="31">
        <f>B226*B10</f>
        <v>393750</v>
      </c>
    </row>
    <row r="228" spans="1:6" ht="13">
      <c r="A228" s="32" t="s">
        <v>21</v>
      </c>
      <c r="B228" s="31">
        <f>-PV($B$9,$B$8,B227)</f>
        <v>3040433.1283665202</v>
      </c>
    </row>
    <row r="230" spans="1:6" ht="13">
      <c r="A230" s="40" t="s">
        <v>182</v>
      </c>
    </row>
    <row r="231" spans="1:6" ht="13">
      <c r="A231" s="33"/>
      <c r="B231" s="57" t="s">
        <v>105</v>
      </c>
      <c r="C231" s="56"/>
      <c r="D231" s="56"/>
      <c r="E231" s="56"/>
      <c r="F231" s="56"/>
    </row>
    <row r="232" spans="1:6" ht="13">
      <c r="A232" s="33" t="s">
        <v>181</v>
      </c>
      <c r="B232" s="55">
        <v>1</v>
      </c>
      <c r="C232" s="55">
        <f>B232+1</f>
        <v>2</v>
      </c>
      <c r="D232" s="55">
        <f>C232+1</f>
        <v>3</v>
      </c>
      <c r="E232" s="55">
        <f>D232+1</f>
        <v>4</v>
      </c>
      <c r="F232" s="55">
        <f>E232+1</f>
        <v>5</v>
      </c>
    </row>
    <row r="233" spans="1:6" ht="13">
      <c r="A233" s="45" t="s">
        <v>179</v>
      </c>
      <c r="B233" s="60">
        <v>80</v>
      </c>
      <c r="C233" s="59"/>
      <c r="D233" s="59"/>
      <c r="E233" s="59"/>
      <c r="F233" s="59"/>
    </row>
    <row r="234" spans="1:6" ht="13">
      <c r="A234" s="45" t="s">
        <v>178</v>
      </c>
      <c r="B234" s="59"/>
      <c r="C234" s="60">
        <v>200</v>
      </c>
      <c r="D234" s="59"/>
      <c r="E234" s="59"/>
      <c r="F234" s="59"/>
    </row>
    <row r="235" spans="1:6" ht="13">
      <c r="A235" s="45" t="s">
        <v>177</v>
      </c>
      <c r="B235" s="60">
        <v>6</v>
      </c>
      <c r="C235" s="59"/>
      <c r="D235" s="59"/>
      <c r="E235" s="60"/>
      <c r="F235" s="59"/>
    </row>
    <row r="236" spans="1:6" ht="13">
      <c r="A236" s="45" t="s">
        <v>176</v>
      </c>
      <c r="B236" s="60"/>
      <c r="C236" s="59"/>
      <c r="D236" s="59">
        <v>14</v>
      </c>
      <c r="E236" s="59"/>
      <c r="F236" s="59"/>
    </row>
    <row r="237" spans="1:6" ht="13">
      <c r="A237" s="45" t="s">
        <v>175</v>
      </c>
      <c r="B237" s="59"/>
      <c r="C237" s="59"/>
      <c r="D237" s="59"/>
      <c r="E237" s="59"/>
      <c r="F237" s="60"/>
    </row>
    <row r="238" spans="1:6" ht="13">
      <c r="A238" s="45" t="s">
        <v>174</v>
      </c>
      <c r="B238" s="60"/>
      <c r="C238" s="59"/>
      <c r="D238" s="59"/>
      <c r="E238" s="59"/>
      <c r="F238" s="59"/>
    </row>
    <row r="239" spans="1:6" ht="13">
      <c r="A239" s="45" t="s">
        <v>173</v>
      </c>
      <c r="B239" s="60"/>
      <c r="C239" s="59"/>
      <c r="D239" s="59"/>
      <c r="E239" s="59"/>
      <c r="F239" s="59"/>
    </row>
    <row r="240" spans="1:6" ht="13">
      <c r="A240" s="45" t="s">
        <v>172</v>
      </c>
      <c r="B240" s="60"/>
      <c r="C240" s="59"/>
      <c r="D240" s="59"/>
      <c r="E240" s="59"/>
      <c r="F240" s="59"/>
    </row>
    <row r="241" spans="1:6" ht="13">
      <c r="A241" s="45" t="s">
        <v>171</v>
      </c>
      <c r="B241" s="60"/>
      <c r="C241" s="59"/>
      <c r="D241" s="59"/>
      <c r="E241" s="59"/>
      <c r="F241" s="59"/>
    </row>
    <row r="242" spans="1:6" ht="13">
      <c r="A242" s="45" t="s">
        <v>170</v>
      </c>
      <c r="B242" s="60"/>
      <c r="C242" s="59"/>
      <c r="D242" s="59"/>
      <c r="E242" s="59"/>
      <c r="F242" s="59"/>
    </row>
    <row r="243" spans="1:6" ht="13">
      <c r="A243" s="33"/>
      <c r="B243" s="49"/>
      <c r="C243" s="49"/>
      <c r="D243" s="49"/>
      <c r="E243" s="49"/>
      <c r="F243" s="49"/>
    </row>
    <row r="244" spans="1:6" ht="13">
      <c r="A244" s="33" t="s">
        <v>180</v>
      </c>
      <c r="B244" s="49"/>
      <c r="C244" s="49"/>
      <c r="D244" s="49"/>
      <c r="E244" s="49"/>
      <c r="F244" s="49"/>
    </row>
    <row r="245" spans="1:6" ht="13">
      <c r="A245" s="45" t="s">
        <v>179</v>
      </c>
      <c r="B245" s="67">
        <v>65</v>
      </c>
      <c r="C245" s="67">
        <v>65</v>
      </c>
      <c r="D245" s="67">
        <v>65</v>
      </c>
      <c r="E245" s="67">
        <v>65</v>
      </c>
      <c r="F245" s="67">
        <v>65</v>
      </c>
    </row>
    <row r="246" spans="1:6" ht="13">
      <c r="A246" s="45" t="s">
        <v>178</v>
      </c>
      <c r="B246" s="67">
        <v>400</v>
      </c>
      <c r="C246" s="67">
        <v>400</v>
      </c>
      <c r="D246" s="67">
        <v>400</v>
      </c>
      <c r="E246" s="67">
        <v>400</v>
      </c>
      <c r="F246" s="67">
        <v>400</v>
      </c>
    </row>
    <row r="247" spans="1:6" ht="13">
      <c r="A247" s="45" t="s">
        <v>177</v>
      </c>
      <c r="B247" s="67">
        <v>19</v>
      </c>
      <c r="C247" s="67">
        <v>19</v>
      </c>
      <c r="D247" s="67">
        <v>19</v>
      </c>
      <c r="E247" s="67">
        <v>19</v>
      </c>
      <c r="F247" s="67">
        <v>19</v>
      </c>
    </row>
    <row r="248" spans="1:6" ht="13">
      <c r="A248" s="45" t="s">
        <v>176</v>
      </c>
      <c r="B248" s="67">
        <v>50</v>
      </c>
      <c r="C248" s="67">
        <v>50</v>
      </c>
      <c r="D248" s="67">
        <v>50</v>
      </c>
      <c r="E248" s="67">
        <v>50</v>
      </c>
      <c r="F248" s="67">
        <v>50</v>
      </c>
    </row>
    <row r="249" spans="1:6" ht="13">
      <c r="A249" s="45" t="s">
        <v>175</v>
      </c>
      <c r="B249" s="67">
        <v>0</v>
      </c>
      <c r="C249" s="67">
        <v>0</v>
      </c>
      <c r="D249" s="67">
        <v>0</v>
      </c>
      <c r="E249" s="67">
        <v>0</v>
      </c>
      <c r="F249" s="67">
        <v>0</v>
      </c>
    </row>
    <row r="250" spans="1:6" ht="13">
      <c r="A250" s="45" t="s">
        <v>174</v>
      </c>
      <c r="B250" s="67">
        <v>0</v>
      </c>
      <c r="C250" s="67">
        <v>0</v>
      </c>
      <c r="D250" s="67">
        <v>0</v>
      </c>
      <c r="E250" s="67">
        <v>0</v>
      </c>
      <c r="F250" s="67">
        <v>0</v>
      </c>
    </row>
    <row r="251" spans="1:6" ht="13">
      <c r="A251" s="45" t="s">
        <v>173</v>
      </c>
      <c r="B251" s="67">
        <v>0</v>
      </c>
      <c r="C251" s="67">
        <v>0</v>
      </c>
      <c r="D251" s="67">
        <v>0</v>
      </c>
      <c r="E251" s="67">
        <v>0</v>
      </c>
      <c r="F251" s="67">
        <v>0</v>
      </c>
    </row>
    <row r="252" spans="1:6" ht="13">
      <c r="A252" s="45" t="s">
        <v>172</v>
      </c>
      <c r="B252" s="67">
        <v>0</v>
      </c>
      <c r="C252" s="67">
        <v>0</v>
      </c>
      <c r="D252" s="67">
        <v>0</v>
      </c>
      <c r="E252" s="67">
        <v>0</v>
      </c>
      <c r="F252" s="67">
        <v>0</v>
      </c>
    </row>
    <row r="253" spans="1:6" ht="13">
      <c r="A253" s="45" t="s">
        <v>171</v>
      </c>
      <c r="B253" s="67">
        <v>0</v>
      </c>
      <c r="C253" s="67">
        <v>0</v>
      </c>
      <c r="D253" s="67">
        <v>0</v>
      </c>
      <c r="E253" s="67">
        <v>0</v>
      </c>
      <c r="F253" s="67">
        <v>0</v>
      </c>
    </row>
    <row r="254" spans="1:6" ht="13">
      <c r="A254" s="45" t="s">
        <v>170</v>
      </c>
      <c r="B254" s="67">
        <v>0</v>
      </c>
      <c r="C254" s="67">
        <v>0</v>
      </c>
      <c r="D254" s="67">
        <v>0</v>
      </c>
      <c r="E254" s="67">
        <v>0</v>
      </c>
      <c r="F254" s="67">
        <v>0</v>
      </c>
    </row>
    <row r="255" spans="1:6" ht="13">
      <c r="B255" s="49"/>
      <c r="C255" s="49"/>
      <c r="D255" s="49"/>
      <c r="E255" s="49"/>
      <c r="F255" s="49"/>
    </row>
    <row r="256" spans="1:6" ht="13">
      <c r="A256" s="33" t="s">
        <v>169</v>
      </c>
      <c r="B256" s="51">
        <f>IF(AND($B$6="Yes",$B$7="Yes"),SUMPRODUCT(B233:B242,B245:B254),0)</f>
        <v>5314</v>
      </c>
      <c r="C256" s="51">
        <f>IF(AND($B$6="Yes",$B$7="Yes"),SUMPRODUCT(C233:C242,C245:C254),0)</f>
        <v>80000</v>
      </c>
      <c r="D256" s="51">
        <f>IF(AND($B$6="Yes",$B$7="Yes"),SUMPRODUCT(D233:D242,D245:D254),0)</f>
        <v>700</v>
      </c>
      <c r="E256" s="51">
        <f>IF(AND($B$6="Yes",$B$7="Yes"),SUMPRODUCT(E233:E242,E245:E254),0)</f>
        <v>0</v>
      </c>
      <c r="F256" s="51">
        <f>IF(AND($B$6="Yes",$B$7="Yes"),SUMPRODUCT(F233:F242,F245:F254),0)</f>
        <v>0</v>
      </c>
    </row>
    <row r="257" spans="1:8" ht="13">
      <c r="A257" s="33" t="s">
        <v>168</v>
      </c>
      <c r="B257" s="51">
        <f>B256*$B$10</f>
        <v>1328.5</v>
      </c>
      <c r="C257" s="51">
        <f>C256*$B$10</f>
        <v>20000</v>
      </c>
      <c r="D257" s="51">
        <f>D256*$B$10</f>
        <v>175</v>
      </c>
      <c r="E257" s="51">
        <f>E256*$B$10</f>
        <v>0</v>
      </c>
      <c r="F257" s="51">
        <f>F256*$B$10</f>
        <v>0</v>
      </c>
    </row>
    <row r="258" spans="1:8" ht="13">
      <c r="A258" s="33" t="s">
        <v>167</v>
      </c>
      <c r="B258" s="51">
        <f>B257/(1+$B$9)^B232</f>
        <v>1265.2380952380952</v>
      </c>
      <c r="C258" s="51">
        <f>C257/(1+$B$9)^C232</f>
        <v>18140.589569160999</v>
      </c>
      <c r="D258" s="51">
        <f>D257/(1+$B$9)^D232</f>
        <v>151.17157974300829</v>
      </c>
      <c r="E258" s="51">
        <f>E257/(1+$B$9)^E232</f>
        <v>0</v>
      </c>
      <c r="F258" s="51">
        <f>F257/(1+$B$9)^F232</f>
        <v>0</v>
      </c>
    </row>
    <row r="259" spans="1:8" ht="13">
      <c r="A259" s="33" t="s">
        <v>115</v>
      </c>
      <c r="B259" s="58">
        <f>SUM(B256:F256)</f>
        <v>86014</v>
      </c>
      <c r="C259" s="51"/>
      <c r="D259" s="51"/>
      <c r="E259" s="51"/>
      <c r="F259" s="51"/>
    </row>
    <row r="260" spans="1:8" ht="13">
      <c r="A260" s="32" t="s">
        <v>114</v>
      </c>
      <c r="B260" s="58">
        <f>SUM(B257:F257)</f>
        <v>21503.5</v>
      </c>
      <c r="D260" s="50"/>
      <c r="E260" s="49"/>
      <c r="F260" s="49"/>
      <c r="G260" s="49"/>
      <c r="H260" s="49"/>
    </row>
    <row r="261" spans="1:8" ht="13">
      <c r="A261" s="32" t="s">
        <v>93</v>
      </c>
      <c r="B261" s="31">
        <f>SUM(B258:F258)</f>
        <v>19556.999244142102</v>
      </c>
      <c r="D261" s="50"/>
      <c r="E261" s="49"/>
      <c r="F261" s="49"/>
      <c r="G261" s="49"/>
      <c r="H261" s="49"/>
    </row>
    <row r="262" spans="1:8" ht="13">
      <c r="A262" s="40"/>
      <c r="D262" s="50"/>
      <c r="E262" s="49"/>
      <c r="F262" s="49"/>
      <c r="G262" s="49"/>
      <c r="H262" s="49"/>
    </row>
    <row r="263" spans="1:8" ht="13">
      <c r="A263" s="40" t="s">
        <v>166</v>
      </c>
      <c r="D263" s="50"/>
      <c r="E263" s="49"/>
      <c r="F263" s="49"/>
      <c r="G263" s="49"/>
      <c r="H263" s="49"/>
    </row>
    <row r="264" spans="1:8" ht="13">
      <c r="A264" s="33" t="s">
        <v>165</v>
      </c>
      <c r="B264" s="46">
        <v>150000</v>
      </c>
    </row>
    <row r="265" spans="1:8" ht="13">
      <c r="A265" s="33" t="s">
        <v>164</v>
      </c>
      <c r="B265" s="34"/>
    </row>
    <row r="266" spans="1:8" ht="13">
      <c r="A266" s="33" t="s">
        <v>163</v>
      </c>
      <c r="B266" s="46">
        <v>10000</v>
      </c>
    </row>
    <row r="267" spans="1:8" ht="13">
      <c r="A267" s="33" t="s">
        <v>162</v>
      </c>
      <c r="B267" s="46">
        <v>5000</v>
      </c>
    </row>
    <row r="268" spans="1:8" ht="13">
      <c r="A268" s="33" t="s">
        <v>161</v>
      </c>
      <c r="B268" s="46">
        <v>2500</v>
      </c>
    </row>
    <row r="269" spans="1:8" ht="13">
      <c r="A269" s="33" t="s">
        <v>160</v>
      </c>
      <c r="B269" s="46">
        <v>5000</v>
      </c>
    </row>
    <row r="270" spans="1:8" ht="13">
      <c r="A270" s="33" t="s">
        <v>159</v>
      </c>
      <c r="B270" s="46">
        <v>3500</v>
      </c>
    </row>
    <row r="271" spans="1:8" ht="13">
      <c r="A271" s="33" t="s">
        <v>158</v>
      </c>
      <c r="B271" s="46">
        <v>8000</v>
      </c>
    </row>
    <row r="272" spans="1:8" ht="13">
      <c r="A272" s="33" t="s">
        <v>115</v>
      </c>
      <c r="B272" s="34">
        <f>IF(AND(B6="Yes",B7="Yes"),SUM(B266:B271)*12,0)</f>
        <v>408000</v>
      </c>
    </row>
    <row r="273" spans="1:3" ht="13">
      <c r="A273" s="32" t="s">
        <v>114</v>
      </c>
      <c r="B273" s="31">
        <f>B272*B10</f>
        <v>102000</v>
      </c>
    </row>
    <row r="274" spans="1:3" ht="13">
      <c r="A274" s="32" t="s">
        <v>157</v>
      </c>
      <c r="B274" s="31">
        <f>IF(AND(B6="Yes",B7="Yes"),-PV($B$9,$B$8,B273)+B264*B10,0)</f>
        <v>825116.96277685091</v>
      </c>
    </row>
    <row r="276" spans="1:3" ht="13">
      <c r="A276" s="66" t="s">
        <v>156</v>
      </c>
    </row>
    <row r="277" spans="1:3" ht="13">
      <c r="A277" s="33" t="s">
        <v>155</v>
      </c>
      <c r="B277" s="59" t="s">
        <v>13</v>
      </c>
      <c r="C277" s="63" t="s">
        <v>154</v>
      </c>
    </row>
    <row r="278" spans="1:3" ht="13">
      <c r="A278" s="33" t="s">
        <v>153</v>
      </c>
      <c r="B278" s="65">
        <v>750000</v>
      </c>
    </row>
    <row r="279" spans="1:3" ht="13">
      <c r="A279" s="33" t="s">
        <v>152</v>
      </c>
      <c r="B279" s="52">
        <v>2000</v>
      </c>
    </row>
    <row r="280" spans="1:3" ht="13">
      <c r="A280" s="33" t="s">
        <v>151</v>
      </c>
      <c r="B280" s="64">
        <v>4.2500000000000003E-2</v>
      </c>
    </row>
    <row r="281" spans="1:3" ht="13">
      <c r="A281" s="33" t="s">
        <v>150</v>
      </c>
      <c r="B281" s="54">
        <v>360</v>
      </c>
    </row>
    <row r="282" spans="1:3" ht="13">
      <c r="A282" s="33" t="s">
        <v>149</v>
      </c>
      <c r="B282" s="51" t="e">
        <f>IF(AND(B6="Yes",B7="Yes"),VLOOKUP(B281,#REF!,7,FALSE),0)</f>
        <v>#REF!</v>
      </c>
    </row>
    <row r="283" spans="1:3" ht="13">
      <c r="A283" s="32" t="s">
        <v>148</v>
      </c>
      <c r="B283" s="51" t="e">
        <f>B282*B10</f>
        <v>#REF!</v>
      </c>
    </row>
    <row r="284" spans="1:3" ht="13">
      <c r="A284" s="32" t="s">
        <v>63</v>
      </c>
      <c r="B284" s="50" t="e">
        <f>IF(AND(B6="Yes",B7="Yes"),VLOOKUP(B281,#REF!,11,FALSE),0)</f>
        <v>#REF!</v>
      </c>
    </row>
    <row r="285" spans="1:3" ht="13">
      <c r="A285" s="33"/>
      <c r="B285" s="33"/>
    </row>
    <row r="286" spans="1:3" ht="13">
      <c r="A286" s="33" t="s">
        <v>147</v>
      </c>
      <c r="B286" s="47" t="s">
        <v>13</v>
      </c>
      <c r="C286" s="63" t="s">
        <v>146</v>
      </c>
    </row>
    <row r="287" spans="1:3" ht="13">
      <c r="A287" s="33" t="s">
        <v>145</v>
      </c>
      <c r="B287" s="35">
        <v>10000000</v>
      </c>
    </row>
    <row r="288" spans="1:3" ht="13">
      <c r="A288" s="33" t="s">
        <v>144</v>
      </c>
      <c r="B288" s="62">
        <v>0.03</v>
      </c>
    </row>
    <row r="289" spans="1:7" ht="13">
      <c r="A289" s="33" t="s">
        <v>143</v>
      </c>
      <c r="B289" s="62">
        <v>0.01</v>
      </c>
    </row>
    <row r="290" spans="1:7" ht="13">
      <c r="A290" s="33" t="s">
        <v>142</v>
      </c>
      <c r="B290" s="33">
        <f>B8</f>
        <v>10</v>
      </c>
      <c r="C290" s="32" t="s">
        <v>141</v>
      </c>
    </row>
    <row r="291" spans="1:7" ht="13">
      <c r="A291" s="33" t="s">
        <v>140</v>
      </c>
      <c r="B291" s="58" t="e">
        <f>B292/B10</f>
        <v>#REF!</v>
      </c>
    </row>
    <row r="292" spans="1:7" ht="13">
      <c r="A292" s="33" t="s">
        <v>139</v>
      </c>
      <c r="B292" s="34" t="e">
        <f>IF(AND(B6="Yes",B7="Yes"),VLOOKUP(B290,#REF!,5,FALSE),0)</f>
        <v>#REF!</v>
      </c>
    </row>
    <row r="293" spans="1:7" ht="13">
      <c r="A293" s="32" t="s">
        <v>122</v>
      </c>
      <c r="B293" s="31" t="e">
        <f>IF(AND(B6="Yes",B7="Yes"),VLOOKUP(B290,#REF!,7,FALSE),0)</f>
        <v>#REF!</v>
      </c>
    </row>
    <row r="294" spans="1:7" ht="15.75" customHeight="1">
      <c r="A294" s="32" t="s">
        <v>138</v>
      </c>
      <c r="B294" s="58" t="e">
        <f>SUM(B282,B291)</f>
        <v>#REF!</v>
      </c>
    </row>
    <row r="295" spans="1:7" ht="15.75" customHeight="1">
      <c r="A295" s="32" t="s">
        <v>137</v>
      </c>
      <c r="B295" s="58" t="e">
        <f>SUM(B283,B292)</f>
        <v>#REF!</v>
      </c>
    </row>
    <row r="296" spans="1:7" ht="13">
      <c r="A296" s="32" t="s">
        <v>136</v>
      </c>
      <c r="B296" s="31" t="e">
        <f>B284+B293</f>
        <v>#REF!</v>
      </c>
    </row>
    <row r="298" spans="1:7" ht="13">
      <c r="A298" s="40" t="s">
        <v>135</v>
      </c>
      <c r="B298" s="57" t="s">
        <v>105</v>
      </c>
      <c r="C298" s="56"/>
      <c r="D298" s="56"/>
      <c r="E298" s="56"/>
      <c r="F298" s="56"/>
    </row>
    <row r="299" spans="1:7" ht="13">
      <c r="A299" s="33" t="s">
        <v>134</v>
      </c>
      <c r="B299" s="55">
        <v>1</v>
      </c>
      <c r="C299" s="55">
        <f>B299+1</f>
        <v>2</v>
      </c>
      <c r="D299" s="55">
        <f>C299+1</f>
        <v>3</v>
      </c>
      <c r="E299" s="55">
        <f>D299+1</f>
        <v>4</v>
      </c>
      <c r="F299" s="55">
        <f>E299+1</f>
        <v>5</v>
      </c>
    </row>
    <row r="300" spans="1:7" ht="13">
      <c r="A300" s="45" t="s">
        <v>132</v>
      </c>
      <c r="B300" s="60">
        <v>2000</v>
      </c>
      <c r="C300" s="59"/>
      <c r="D300" s="59"/>
      <c r="E300" s="59"/>
      <c r="F300" s="59"/>
      <c r="G300" s="61"/>
    </row>
    <row r="301" spans="1:7" ht="13">
      <c r="A301" s="45" t="s">
        <v>131</v>
      </c>
      <c r="B301" s="59"/>
      <c r="C301" s="60">
        <v>15000</v>
      </c>
      <c r="D301" s="59"/>
      <c r="E301" s="59"/>
      <c r="F301" s="59"/>
    </row>
    <row r="302" spans="1:7" ht="13">
      <c r="A302" s="45" t="s">
        <v>130</v>
      </c>
      <c r="B302" s="60">
        <v>1000</v>
      </c>
      <c r="C302" s="59"/>
      <c r="D302" s="59"/>
      <c r="E302" s="60">
        <v>1000</v>
      </c>
      <c r="F302" s="59"/>
    </row>
    <row r="303" spans="1:7" ht="13">
      <c r="A303" s="45" t="s">
        <v>129</v>
      </c>
      <c r="B303" s="60">
        <v>2000</v>
      </c>
      <c r="C303" s="59"/>
      <c r="D303" s="59"/>
      <c r="E303" s="59"/>
      <c r="F303" s="59"/>
    </row>
    <row r="304" spans="1:7" ht="13">
      <c r="A304" s="45" t="s">
        <v>128</v>
      </c>
      <c r="B304" s="59"/>
      <c r="C304" s="59"/>
      <c r="D304" s="59"/>
      <c r="E304" s="59"/>
      <c r="F304" s="60">
        <v>6500</v>
      </c>
    </row>
    <row r="305" spans="1:15" ht="13">
      <c r="A305" s="45" t="s">
        <v>127</v>
      </c>
      <c r="B305" s="60"/>
      <c r="C305" s="59"/>
      <c r="D305" s="59"/>
      <c r="E305" s="59"/>
      <c r="F305" s="59"/>
    </row>
    <row r="306" spans="1:15" ht="13">
      <c r="A306" s="45" t="s">
        <v>126</v>
      </c>
      <c r="B306" s="60"/>
      <c r="C306" s="59"/>
      <c r="D306" s="59"/>
      <c r="E306" s="59"/>
      <c r="F306" s="59"/>
    </row>
    <row r="307" spans="1:15" ht="13">
      <c r="A307" s="45" t="s">
        <v>125</v>
      </c>
      <c r="B307" s="60"/>
      <c r="C307" s="59"/>
      <c r="D307" s="59"/>
      <c r="E307" s="59"/>
      <c r="F307" s="59"/>
    </row>
    <row r="308" spans="1:15" ht="13">
      <c r="A308" s="45" t="s">
        <v>124</v>
      </c>
      <c r="B308" s="60"/>
      <c r="C308" s="59"/>
      <c r="D308" s="59"/>
      <c r="E308" s="59"/>
      <c r="F308" s="59"/>
    </row>
    <row r="309" spans="1:15" ht="13">
      <c r="A309" s="45" t="s">
        <v>123</v>
      </c>
      <c r="B309" s="60"/>
      <c r="C309" s="59"/>
      <c r="D309" s="59"/>
      <c r="E309" s="59"/>
      <c r="F309" s="59"/>
    </row>
    <row r="310" spans="1:15" ht="13">
      <c r="B310" s="49"/>
      <c r="C310" s="49"/>
      <c r="D310" s="49"/>
      <c r="E310" s="49"/>
      <c r="F310" s="49"/>
    </row>
    <row r="311" spans="1:15" ht="13">
      <c r="A311" s="33" t="s">
        <v>133</v>
      </c>
      <c r="B311" s="49"/>
      <c r="C311" s="49"/>
      <c r="D311" s="49"/>
      <c r="E311" s="49"/>
      <c r="F311" s="49"/>
    </row>
    <row r="312" spans="1:15" ht="13">
      <c r="A312" s="45" t="s">
        <v>132</v>
      </c>
      <c r="B312" s="52">
        <v>250</v>
      </c>
      <c r="C312" s="52">
        <v>250</v>
      </c>
      <c r="D312" s="52">
        <v>250</v>
      </c>
      <c r="E312" s="52">
        <v>250</v>
      </c>
      <c r="F312" s="52">
        <v>250</v>
      </c>
      <c r="O312" s="32"/>
    </row>
    <row r="313" spans="1:15" ht="13">
      <c r="A313" s="45" t="s">
        <v>131</v>
      </c>
      <c r="B313" s="52">
        <v>450</v>
      </c>
      <c r="C313" s="52">
        <v>450</v>
      </c>
      <c r="D313" s="52">
        <v>450</v>
      </c>
      <c r="E313" s="52">
        <v>450</v>
      </c>
      <c r="F313" s="52">
        <v>450</v>
      </c>
    </row>
    <row r="314" spans="1:15" ht="13">
      <c r="A314" s="45" t="s">
        <v>130</v>
      </c>
      <c r="B314" s="52">
        <v>100</v>
      </c>
      <c r="C314" s="52">
        <v>100</v>
      </c>
      <c r="D314" s="52">
        <v>100</v>
      </c>
      <c r="E314" s="52">
        <v>100</v>
      </c>
      <c r="F314" s="52">
        <v>100</v>
      </c>
    </row>
    <row r="315" spans="1:15" ht="13">
      <c r="A315" s="45" t="s">
        <v>129</v>
      </c>
      <c r="B315" s="52">
        <v>650</v>
      </c>
      <c r="C315" s="52">
        <v>650</v>
      </c>
      <c r="D315" s="52">
        <v>650</v>
      </c>
      <c r="E315" s="52">
        <v>650</v>
      </c>
      <c r="F315" s="52">
        <v>650</v>
      </c>
    </row>
    <row r="316" spans="1:15" ht="13">
      <c r="A316" s="45" t="s">
        <v>128</v>
      </c>
      <c r="B316" s="52">
        <v>150</v>
      </c>
      <c r="C316" s="52">
        <v>150</v>
      </c>
      <c r="D316" s="52">
        <v>150</v>
      </c>
      <c r="E316" s="52">
        <v>150</v>
      </c>
      <c r="F316" s="52">
        <v>150</v>
      </c>
    </row>
    <row r="317" spans="1:15" ht="13">
      <c r="A317" s="45" t="s">
        <v>127</v>
      </c>
      <c r="B317" s="54"/>
      <c r="C317" s="54"/>
      <c r="D317" s="54"/>
      <c r="E317" s="54"/>
      <c r="F317" s="54"/>
    </row>
    <row r="318" spans="1:15" ht="13">
      <c r="A318" s="45" t="s">
        <v>126</v>
      </c>
      <c r="B318" s="54"/>
      <c r="C318" s="54"/>
      <c r="D318" s="54"/>
      <c r="E318" s="54"/>
      <c r="F318" s="54"/>
    </row>
    <row r="319" spans="1:15" ht="13">
      <c r="A319" s="45" t="s">
        <v>125</v>
      </c>
      <c r="B319" s="54"/>
      <c r="C319" s="54"/>
      <c r="D319" s="54"/>
      <c r="E319" s="54"/>
      <c r="F319" s="54"/>
    </row>
    <row r="320" spans="1:15" ht="13">
      <c r="A320" s="45" t="s">
        <v>124</v>
      </c>
      <c r="B320" s="54"/>
      <c r="C320" s="54"/>
      <c r="D320" s="54"/>
      <c r="E320" s="54"/>
      <c r="F320" s="54"/>
    </row>
    <row r="321" spans="1:24" ht="13">
      <c r="A321" s="45" t="s">
        <v>123</v>
      </c>
      <c r="B321" s="54"/>
      <c r="C321" s="54"/>
      <c r="D321" s="54"/>
      <c r="E321" s="54"/>
      <c r="F321" s="54"/>
    </row>
    <row r="322" spans="1:24" ht="13">
      <c r="B322" s="49"/>
      <c r="C322" s="49"/>
      <c r="D322" s="49"/>
      <c r="E322" s="49"/>
      <c r="F322" s="49"/>
    </row>
    <row r="323" spans="1:24" ht="13">
      <c r="A323" s="33" t="s">
        <v>97</v>
      </c>
      <c r="B323" s="51">
        <f>IF(AND($B$6="Yes",$B$7="Yes"),SUMPRODUCT(B300:B309,B312:B321),0)</f>
        <v>1900000</v>
      </c>
      <c r="C323" s="51">
        <f>IF(AND($B$6="Yes",$B$7="Yes"),SUMPRODUCT(C300:C309,C312:C321),0)</f>
        <v>6750000</v>
      </c>
      <c r="D323" s="51">
        <f>IF(AND($B$6="Yes",$B$7="Yes"),SUMPRODUCT(D300:D309,D312:D321),0)</f>
        <v>0</v>
      </c>
      <c r="E323" s="51">
        <f>IF(AND($B$6="Yes",$B$7="Yes"),SUMPRODUCT(E300:E309,E312:E321),0)</f>
        <v>100000</v>
      </c>
      <c r="F323" s="51">
        <f>IF(AND($B$6="Yes",$B$7="Yes"),SUMPRODUCT(F300:F309,F312:F321),0)</f>
        <v>975000</v>
      </c>
    </row>
    <row r="324" spans="1:24" ht="13">
      <c r="A324" s="32" t="s">
        <v>96</v>
      </c>
      <c r="B324" s="50">
        <f>B323*$B$10</f>
        <v>475000</v>
      </c>
      <c r="C324" s="50">
        <f>C323*$B$10</f>
        <v>1687500</v>
      </c>
      <c r="D324" s="50">
        <f>D323*$B$10</f>
        <v>0</v>
      </c>
      <c r="E324" s="50">
        <f>E323*$B$10</f>
        <v>25000</v>
      </c>
      <c r="F324" s="50">
        <f>F323*$B$10</f>
        <v>243750</v>
      </c>
    </row>
    <row r="325" spans="1:24" ht="13">
      <c r="A325" s="32" t="s">
        <v>95</v>
      </c>
      <c r="B325" s="50">
        <f>B324/(1+$B$9)^B299</f>
        <v>452380.95238095237</v>
      </c>
      <c r="C325" s="50">
        <f>C324/(1+$B$9)^C299</f>
        <v>1530612.2448979591</v>
      </c>
      <c r="D325" s="50">
        <f>D324/(1+$B$9)^D299</f>
        <v>0</v>
      </c>
      <c r="E325" s="50">
        <f>E324/(1+$B$9)^E299</f>
        <v>20567.561869797049</v>
      </c>
      <c r="F325" s="50">
        <f>F324/(1+$B$9)^F299</f>
        <v>190984.50307668687</v>
      </c>
    </row>
    <row r="326" spans="1:24" ht="13">
      <c r="A326" s="33" t="s">
        <v>115</v>
      </c>
      <c r="B326" s="50">
        <f>SUM(B323:F323)</f>
        <v>9725000</v>
      </c>
      <c r="C326" s="50"/>
      <c r="D326" s="50"/>
      <c r="E326" s="50"/>
      <c r="F326" s="50"/>
    </row>
    <row r="327" spans="1:24" ht="13">
      <c r="A327" s="32" t="s">
        <v>114</v>
      </c>
      <c r="B327" s="50">
        <f>B326*B10</f>
        <v>2431250</v>
      </c>
      <c r="D327" s="49"/>
      <c r="E327" s="49"/>
      <c r="F327" s="49"/>
    </row>
    <row r="328" spans="1:24" ht="13">
      <c r="A328" s="32" t="s">
        <v>122</v>
      </c>
      <c r="B328" s="50">
        <f>SUM(B325:F325)</f>
        <v>2194545.2622253955</v>
      </c>
      <c r="D328" s="49"/>
      <c r="E328" s="49"/>
      <c r="F328" s="49"/>
    </row>
    <row r="329" spans="1:24" ht="13">
      <c r="B329" s="49"/>
      <c r="C329" s="49"/>
      <c r="D329" s="49"/>
      <c r="E329" s="49"/>
      <c r="F329" s="49"/>
    </row>
    <row r="330" spans="1:24" ht="13">
      <c r="A330" s="40" t="s">
        <v>121</v>
      </c>
      <c r="B330" s="55" t="s">
        <v>105</v>
      </c>
      <c r="C330" s="55"/>
      <c r="D330" s="55"/>
      <c r="E330" s="55"/>
      <c r="F330" s="55"/>
    </row>
    <row r="331" spans="1:24" ht="13">
      <c r="A331" s="33" t="s">
        <v>120</v>
      </c>
      <c r="B331" s="55">
        <v>1</v>
      </c>
      <c r="C331" s="55">
        <f>B331+1</f>
        <v>2</v>
      </c>
      <c r="D331" s="55">
        <f>C331+1</f>
        <v>3</v>
      </c>
      <c r="E331" s="55">
        <f>D331+1</f>
        <v>4</v>
      </c>
      <c r="F331" s="55">
        <f>E331+1</f>
        <v>5</v>
      </c>
      <c r="G331" s="55">
        <f>F331+1</f>
        <v>6</v>
      </c>
      <c r="H331" s="55">
        <f>G331+1</f>
        <v>7</v>
      </c>
      <c r="I331" s="55">
        <f>H331+1</f>
        <v>8</v>
      </c>
      <c r="J331" s="55">
        <f>I331+1</f>
        <v>9</v>
      </c>
      <c r="K331" s="55">
        <f>J331+1</f>
        <v>10</v>
      </c>
      <c r="L331" s="55">
        <f>K331+1</f>
        <v>11</v>
      </c>
      <c r="M331" s="55">
        <f>L331+1</f>
        <v>12</v>
      </c>
      <c r="N331" s="55">
        <f>M331+1</f>
        <v>13</v>
      </c>
      <c r="O331" s="55">
        <f>N331+1</f>
        <v>14</v>
      </c>
      <c r="P331" s="55">
        <f>O331+1</f>
        <v>15</v>
      </c>
      <c r="Q331" s="55">
        <f>P331+1</f>
        <v>16</v>
      </c>
      <c r="R331" s="55">
        <f>Q331+1</f>
        <v>17</v>
      </c>
      <c r="S331" s="55">
        <f>R331+1</f>
        <v>18</v>
      </c>
      <c r="T331" s="55">
        <f>S331+1</f>
        <v>19</v>
      </c>
      <c r="U331" s="55">
        <f>T331+1</f>
        <v>20</v>
      </c>
      <c r="V331" s="49"/>
      <c r="W331" s="49"/>
      <c r="X331" s="49"/>
    </row>
    <row r="332" spans="1:24" ht="13">
      <c r="A332" s="45" t="s">
        <v>109</v>
      </c>
      <c r="B332" s="46">
        <v>120</v>
      </c>
      <c r="C332" s="46">
        <v>50</v>
      </c>
      <c r="D332" s="46">
        <v>50</v>
      </c>
      <c r="E332" s="46">
        <v>50</v>
      </c>
      <c r="F332" s="46">
        <v>50</v>
      </c>
      <c r="G332" s="46">
        <v>50</v>
      </c>
      <c r="H332" s="46">
        <v>50</v>
      </c>
      <c r="I332" s="46">
        <v>50</v>
      </c>
      <c r="J332" s="46">
        <v>50</v>
      </c>
      <c r="K332" s="46">
        <v>50</v>
      </c>
      <c r="L332" s="46">
        <v>50</v>
      </c>
      <c r="M332" s="46">
        <v>50</v>
      </c>
      <c r="N332" s="46">
        <v>50</v>
      </c>
      <c r="O332" s="46"/>
      <c r="P332" s="46"/>
      <c r="Q332" s="46"/>
      <c r="R332" s="46"/>
      <c r="S332" s="46"/>
      <c r="T332" s="46"/>
      <c r="U332" s="46"/>
    </row>
    <row r="333" spans="1:24" ht="13">
      <c r="A333" s="45" t="s">
        <v>108</v>
      </c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</row>
    <row r="334" spans="1:24" ht="13">
      <c r="A334" s="45" t="s">
        <v>107</v>
      </c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</row>
    <row r="335" spans="1:24" ht="13"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spans="1:24" ht="13">
      <c r="A336" s="33" t="s">
        <v>119</v>
      </c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spans="1:21" ht="13">
      <c r="A337" s="45" t="s">
        <v>109</v>
      </c>
      <c r="B337" s="47">
        <v>300</v>
      </c>
      <c r="C337" s="47">
        <v>300</v>
      </c>
      <c r="D337" s="47">
        <v>300</v>
      </c>
      <c r="E337" s="47">
        <v>300</v>
      </c>
      <c r="F337" s="47">
        <v>300</v>
      </c>
      <c r="G337" s="47">
        <v>300</v>
      </c>
      <c r="H337" s="47">
        <v>300</v>
      </c>
      <c r="I337" s="47">
        <v>300</v>
      </c>
      <c r="J337" s="47">
        <v>300</v>
      </c>
      <c r="K337" s="47">
        <v>300</v>
      </c>
      <c r="L337" s="47">
        <v>300</v>
      </c>
      <c r="M337" s="47">
        <v>300</v>
      </c>
      <c r="N337" s="47"/>
      <c r="O337" s="47"/>
      <c r="P337" s="47"/>
      <c r="Q337" s="47"/>
      <c r="R337" s="47"/>
      <c r="S337" s="47"/>
      <c r="T337" s="47"/>
      <c r="U337" s="47"/>
    </row>
    <row r="338" spans="1:21" ht="13">
      <c r="A338" s="45" t="s">
        <v>108</v>
      </c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</row>
    <row r="339" spans="1:21" ht="13">
      <c r="A339" s="45" t="s">
        <v>107</v>
      </c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</row>
    <row r="341" spans="1:21" ht="13">
      <c r="A341" s="33" t="s">
        <v>118</v>
      </c>
      <c r="B341" s="34">
        <f>IF(AND($B$6="Yes",$B$7="Yes"),SUMPRODUCT(B332:B334,B337:B339),0)</f>
        <v>36000</v>
      </c>
      <c r="C341" s="34">
        <f>IF(AND($B$6="Yes",$B$7="Yes"),SUMPRODUCT(C332:C334,C337:C339),0)</f>
        <v>15000</v>
      </c>
      <c r="D341" s="34">
        <f>IF(AND($B$6="Yes",$B$7="Yes"),SUMPRODUCT(D332:D334,D337:D339),0)</f>
        <v>15000</v>
      </c>
      <c r="E341" s="34">
        <f>IF(AND($B$6="Yes",$B$7="Yes"),SUMPRODUCT(E332:E334,E337:E339),0)</f>
        <v>15000</v>
      </c>
      <c r="F341" s="34">
        <f>IF(AND($B$6="Yes",$B$7="Yes"),SUMPRODUCT(F332:F334,F337:F339),0)</f>
        <v>15000</v>
      </c>
      <c r="G341" s="34">
        <f>IF(AND($B$6="Yes",$B$7="Yes"),SUMPRODUCT(G332:G334,G337:G339),0)</f>
        <v>15000</v>
      </c>
      <c r="H341" s="34">
        <f>IF(AND($B$6="Yes",$B$7="Yes"),SUMPRODUCT(H332:H334,H337:H339),0)</f>
        <v>15000</v>
      </c>
      <c r="I341" s="34">
        <f>IF(AND($B$6="Yes",$B$7="Yes"),SUMPRODUCT(I332:I334,I337:I339),0)</f>
        <v>15000</v>
      </c>
      <c r="J341" s="34">
        <f>IF(AND($B$6="Yes",$B$7="Yes"),SUMPRODUCT(J332:J334,J337:J339),0)</f>
        <v>15000</v>
      </c>
      <c r="K341" s="34">
        <f>IF(AND($B$6="Yes",$B$7="Yes"),SUMPRODUCT(K332:K334,K337:K339),0)</f>
        <v>15000</v>
      </c>
      <c r="L341" s="34">
        <f>IF(AND($B$6="Yes",$B$7="Yes"),SUMPRODUCT(L332:L334,L337:L339),0)</f>
        <v>15000</v>
      </c>
      <c r="M341" s="34">
        <f>IF(AND($B$6="Yes",$B$7="Yes"),SUMPRODUCT(M332:M334,M337:M339),0)</f>
        <v>15000</v>
      </c>
      <c r="N341" s="34">
        <f>IF(AND($B$6="Yes",$B$7="Yes"),SUMPRODUCT(N332:N334,N337:N339),0)</f>
        <v>0</v>
      </c>
      <c r="O341" s="34">
        <f>IF(AND($B$6="Yes",$B$7="Yes"),SUMPRODUCT(O332:O334,O337:O339),0)</f>
        <v>0</v>
      </c>
      <c r="P341" s="34">
        <f>IF(AND($B$6="Yes",$B$7="Yes"),SUMPRODUCT(P332:P334,P337:P339),0)</f>
        <v>0</v>
      </c>
      <c r="Q341" s="34">
        <f>IF(AND($B$6="Yes",$B$7="Yes"),SUMPRODUCT(Q332:Q334,Q337:Q339),0)</f>
        <v>0</v>
      </c>
      <c r="R341" s="34">
        <f>IF(AND($B$6="Yes",$B$7="Yes"),SUMPRODUCT(R332:R334,R337:R339),0)</f>
        <v>0</v>
      </c>
      <c r="S341" s="34">
        <f>IF(AND($B$6="Yes",$B$7="Yes"),SUMPRODUCT(S332:S334,S337:S339),0)</f>
        <v>0</v>
      </c>
      <c r="T341" s="34">
        <f>IF(AND($B$6="Yes",$B$7="Yes"),SUMPRODUCT(T332:T334,T337:T339),0)</f>
        <v>0</v>
      </c>
      <c r="U341" s="34">
        <f>IF(AND($B$6="Yes",$B$7="Yes"),SUMPRODUCT(U332:U334,U337:U339),0)</f>
        <v>0</v>
      </c>
    </row>
    <row r="342" spans="1:21" ht="13">
      <c r="A342" s="33" t="s">
        <v>117</v>
      </c>
      <c r="B342" s="34">
        <f>B341*$B$10</f>
        <v>9000</v>
      </c>
      <c r="C342" s="34">
        <f>C341*$B$10</f>
        <v>3750</v>
      </c>
      <c r="D342" s="34">
        <f>D341*$B$10</f>
        <v>3750</v>
      </c>
      <c r="E342" s="34">
        <f>E341*$B$10</f>
        <v>3750</v>
      </c>
      <c r="F342" s="34">
        <f>F341*$B$10</f>
        <v>3750</v>
      </c>
      <c r="G342" s="34">
        <f>G341*$B$10</f>
        <v>3750</v>
      </c>
      <c r="H342" s="34">
        <f>H341*$B$10</f>
        <v>3750</v>
      </c>
      <c r="I342" s="34">
        <f>I341*$B$10</f>
        <v>3750</v>
      </c>
      <c r="J342" s="34">
        <f>J341*$B$10</f>
        <v>3750</v>
      </c>
      <c r="K342" s="34">
        <f>K341*$B$10</f>
        <v>3750</v>
      </c>
      <c r="L342" s="34">
        <f>L341*$B$10</f>
        <v>3750</v>
      </c>
      <c r="M342" s="34">
        <f>M341*$B$10</f>
        <v>3750</v>
      </c>
      <c r="N342" s="34">
        <f>N341*$B$10</f>
        <v>0</v>
      </c>
      <c r="O342" s="34">
        <f>O341*$B$10</f>
        <v>0</v>
      </c>
      <c r="P342" s="34">
        <f>P341*$B$10</f>
        <v>0</v>
      </c>
      <c r="Q342" s="34">
        <f>Q341*$B$10</f>
        <v>0</v>
      </c>
      <c r="R342" s="34">
        <f>R341*$B$10</f>
        <v>0</v>
      </c>
      <c r="S342" s="34">
        <f>S341*$B$10</f>
        <v>0</v>
      </c>
      <c r="T342" s="34">
        <f>T341*$B$10</f>
        <v>0</v>
      </c>
      <c r="U342" s="34">
        <f>U341*$B$10</f>
        <v>0</v>
      </c>
    </row>
    <row r="343" spans="1:21" ht="13">
      <c r="A343" s="33" t="s">
        <v>116</v>
      </c>
      <c r="B343" s="34">
        <f>B342/(1+$B$9)^B331</f>
        <v>8571.4285714285706</v>
      </c>
      <c r="C343" s="34">
        <f>C342/(1+$B$9)^C331</f>
        <v>3401.3605442176868</v>
      </c>
      <c r="D343" s="34">
        <f>D342/(1+$B$9)^D331</f>
        <v>3239.3909944930351</v>
      </c>
      <c r="E343" s="34">
        <f>E342/(1+$B$9)^E331</f>
        <v>3085.1342804695573</v>
      </c>
      <c r="F343" s="34">
        <f>F342/(1+$B$9)^F331</f>
        <v>2938.2231242567209</v>
      </c>
      <c r="G343" s="34">
        <f>G342/(1+$B$9)^G331</f>
        <v>2798.3077373873539</v>
      </c>
      <c r="H343" s="34">
        <f>H342/(1+$B$9)^H331</f>
        <v>2665.0549879879554</v>
      </c>
      <c r="I343" s="34">
        <f>I342/(1+$B$9)^I331</f>
        <v>2538.1476076075769</v>
      </c>
      <c r="J343" s="34">
        <f>J342/(1+$B$9)^J331</f>
        <v>2417.2834358167397</v>
      </c>
      <c r="K343" s="34">
        <f>K342/(1+$B$9)^K331</f>
        <v>2302.1747007778476</v>
      </c>
      <c r="L343" s="34">
        <f>L342/(1+$B$9)^L331</f>
        <v>2192.5473340741401</v>
      </c>
      <c r="M343" s="34">
        <f>M342/(1+$B$9)^M331</f>
        <v>2088.1403181658484</v>
      </c>
      <c r="N343" s="34">
        <f>N342/(1+$B$9)^N331</f>
        <v>0</v>
      </c>
      <c r="O343" s="34">
        <f>O342/(1+$B$9)^O331</f>
        <v>0</v>
      </c>
      <c r="P343" s="34">
        <f>P342/(1+$B$9)^P331</f>
        <v>0</v>
      </c>
      <c r="Q343" s="34">
        <f>Q342/(1+$B$9)^Q331</f>
        <v>0</v>
      </c>
      <c r="R343" s="34">
        <f>R342/(1+$B$9)^R331</f>
        <v>0</v>
      </c>
      <c r="S343" s="34">
        <f>S342/(1+$B$9)^S331</f>
        <v>0</v>
      </c>
      <c r="T343" s="34">
        <f>T342/(1+$B$9)^T331</f>
        <v>0</v>
      </c>
      <c r="U343" s="34">
        <f>U342/(1+$B$9)^U331</f>
        <v>0</v>
      </c>
    </row>
    <row r="344" spans="1:21" ht="13">
      <c r="A344" s="33" t="s">
        <v>115</v>
      </c>
      <c r="B344" s="34">
        <f>SUM(B341:U341)</f>
        <v>201000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</row>
    <row r="345" spans="1:21" ht="15.75" customHeight="1">
      <c r="A345" s="32" t="s">
        <v>114</v>
      </c>
      <c r="B345" s="58">
        <f>SUM(B342:U342)</f>
        <v>50250</v>
      </c>
      <c r="C345" s="58"/>
    </row>
    <row r="346" spans="1:21" ht="13">
      <c r="A346" s="32" t="s">
        <v>113</v>
      </c>
      <c r="B346" s="31">
        <f>SUM(B343:U343)</f>
        <v>38237.193636683027</v>
      </c>
    </row>
    <row r="348" spans="1:21" ht="13">
      <c r="A348" s="40" t="s">
        <v>112</v>
      </c>
      <c r="B348" s="55"/>
      <c r="C348" s="55"/>
      <c r="D348" s="55"/>
      <c r="E348" s="55"/>
      <c r="F348" s="55"/>
    </row>
    <row r="349" spans="1:21" ht="13">
      <c r="A349" s="33" t="s">
        <v>111</v>
      </c>
      <c r="B349" s="55"/>
      <c r="C349" s="55"/>
      <c r="D349" s="55"/>
      <c r="E349" s="55"/>
      <c r="F349" s="55"/>
    </row>
    <row r="350" spans="1:21" ht="13">
      <c r="A350" s="45" t="s">
        <v>109</v>
      </c>
      <c r="B350" s="36">
        <v>15</v>
      </c>
      <c r="C350" s="34"/>
      <c r="D350" s="34"/>
      <c r="E350" s="34"/>
      <c r="F350" s="34"/>
    </row>
    <row r="351" spans="1:21" ht="13">
      <c r="A351" s="45" t="s">
        <v>108</v>
      </c>
      <c r="B351" s="36">
        <v>25</v>
      </c>
      <c r="C351" s="34"/>
      <c r="D351" s="34"/>
      <c r="E351" s="34"/>
      <c r="F351" s="34"/>
    </row>
    <row r="352" spans="1:21" ht="13">
      <c r="A352" s="45" t="s">
        <v>107</v>
      </c>
      <c r="B352" s="36">
        <v>30</v>
      </c>
      <c r="C352" s="34"/>
      <c r="D352" s="34"/>
      <c r="E352" s="34"/>
      <c r="F352" s="34"/>
    </row>
    <row r="354" spans="1:6" ht="13">
      <c r="A354" s="33" t="s">
        <v>110</v>
      </c>
    </row>
    <row r="355" spans="1:6" ht="13">
      <c r="A355" s="45" t="s">
        <v>109</v>
      </c>
      <c r="B355" s="46">
        <v>300</v>
      </c>
      <c r="C355" s="34"/>
      <c r="D355" s="34"/>
      <c r="E355" s="34"/>
      <c r="F355" s="34"/>
    </row>
    <row r="356" spans="1:6" ht="13">
      <c r="A356" s="45" t="s">
        <v>108</v>
      </c>
      <c r="B356" s="46">
        <v>150</v>
      </c>
      <c r="C356" s="34"/>
      <c r="D356" s="34"/>
      <c r="E356" s="34"/>
      <c r="F356" s="34"/>
    </row>
    <row r="357" spans="1:6" ht="13">
      <c r="A357" s="45" t="s">
        <v>107</v>
      </c>
      <c r="B357" s="46">
        <v>15</v>
      </c>
      <c r="C357" s="34"/>
      <c r="D357" s="34"/>
      <c r="E357" s="34"/>
      <c r="F357" s="34"/>
    </row>
    <row r="359" spans="1:6" ht="13">
      <c r="A359" s="33" t="s">
        <v>23</v>
      </c>
      <c r="B359" s="34">
        <f>IF(AND(B6="Yes",B7="Yes"),SUMPRODUCT(B350:B352,B355:B357)*12,0)</f>
        <v>104400</v>
      </c>
      <c r="C359" s="34"/>
      <c r="D359" s="34"/>
      <c r="E359" s="34"/>
      <c r="F359" s="34"/>
    </row>
    <row r="360" spans="1:6" ht="13">
      <c r="A360" s="32" t="s">
        <v>94</v>
      </c>
      <c r="B360" s="31">
        <f>B359*$B$10</f>
        <v>26100</v>
      </c>
    </row>
    <row r="361" spans="1:6" ht="13">
      <c r="A361" s="32" t="s">
        <v>21</v>
      </c>
      <c r="B361" s="31">
        <f>-PV(B9,B8,B360)</f>
        <v>201537.28165172361</v>
      </c>
    </row>
    <row r="363" spans="1:6" ht="13">
      <c r="A363" s="40" t="s">
        <v>106</v>
      </c>
      <c r="B363" s="57" t="s">
        <v>105</v>
      </c>
      <c r="C363" s="56"/>
      <c r="D363" s="56"/>
      <c r="E363" s="56"/>
      <c r="F363" s="56"/>
    </row>
    <row r="364" spans="1:6" ht="13">
      <c r="A364" s="33" t="s">
        <v>104</v>
      </c>
      <c r="B364" s="55">
        <v>1</v>
      </c>
      <c r="C364" s="55">
        <f>B364+1</f>
        <v>2</v>
      </c>
      <c r="D364" s="55">
        <f>C364+1</f>
        <v>3</v>
      </c>
      <c r="E364" s="55">
        <f>D364+1</f>
        <v>4</v>
      </c>
      <c r="F364" s="55">
        <f>E364+1</f>
        <v>5</v>
      </c>
    </row>
    <row r="365" spans="1:6" ht="13">
      <c r="A365" s="45" t="s">
        <v>102</v>
      </c>
      <c r="B365" s="53">
        <v>8</v>
      </c>
      <c r="C365" s="54">
        <v>2</v>
      </c>
      <c r="D365" s="54">
        <v>1</v>
      </c>
      <c r="E365" s="54">
        <v>1</v>
      </c>
      <c r="F365" s="54">
        <v>1</v>
      </c>
    </row>
    <row r="366" spans="1:6" ht="13">
      <c r="A366" s="45" t="s">
        <v>101</v>
      </c>
      <c r="B366" s="54"/>
      <c r="C366" s="53"/>
      <c r="D366" s="54"/>
      <c r="E366" s="54"/>
      <c r="F366" s="54"/>
    </row>
    <row r="367" spans="1:6" ht="13">
      <c r="A367" s="45" t="s">
        <v>100</v>
      </c>
      <c r="B367" s="53">
        <v>2</v>
      </c>
      <c r="C367" s="54"/>
      <c r="D367" s="54">
        <v>3</v>
      </c>
      <c r="E367" s="53"/>
      <c r="F367" s="54"/>
    </row>
    <row r="368" spans="1:6" ht="13">
      <c r="A368" s="45" t="s">
        <v>99</v>
      </c>
      <c r="B368" s="53"/>
      <c r="C368" s="54"/>
      <c r="D368" s="54"/>
      <c r="E368" s="54"/>
      <c r="F368" s="54"/>
    </row>
    <row r="369" spans="1:6" ht="13">
      <c r="A369" s="45" t="s">
        <v>98</v>
      </c>
      <c r="B369" s="54"/>
      <c r="C369" s="54"/>
      <c r="D369" s="54"/>
      <c r="E369" s="54"/>
      <c r="F369" s="53"/>
    </row>
    <row r="370" spans="1:6" ht="13">
      <c r="B370" s="49"/>
      <c r="C370" s="49"/>
      <c r="D370" s="49"/>
      <c r="E370" s="49"/>
      <c r="F370" s="49"/>
    </row>
    <row r="371" spans="1:6" ht="13">
      <c r="A371" s="33" t="s">
        <v>103</v>
      </c>
      <c r="B371" s="49"/>
      <c r="C371" s="49"/>
      <c r="D371" s="49"/>
      <c r="E371" s="49"/>
      <c r="F371" s="49"/>
    </row>
    <row r="372" spans="1:6" ht="13">
      <c r="A372" s="45" t="s">
        <v>102</v>
      </c>
      <c r="B372" s="52">
        <v>10000</v>
      </c>
      <c r="C372" s="52">
        <v>10000</v>
      </c>
      <c r="D372" s="52">
        <v>10000</v>
      </c>
      <c r="E372" s="52">
        <v>10000</v>
      </c>
      <c r="F372" s="52">
        <v>10000</v>
      </c>
    </row>
    <row r="373" spans="1:6" ht="13">
      <c r="A373" s="45" t="s">
        <v>101</v>
      </c>
      <c r="B373" s="52">
        <v>8000</v>
      </c>
      <c r="C373" s="52">
        <v>8000</v>
      </c>
      <c r="D373" s="52">
        <v>8000</v>
      </c>
      <c r="E373" s="52">
        <v>8000</v>
      </c>
      <c r="F373" s="52">
        <v>8000</v>
      </c>
    </row>
    <row r="374" spans="1:6" ht="13">
      <c r="A374" s="45" t="s">
        <v>100</v>
      </c>
      <c r="B374" s="52">
        <v>15000</v>
      </c>
      <c r="C374" s="52">
        <v>15000</v>
      </c>
      <c r="D374" s="52">
        <v>15000</v>
      </c>
      <c r="E374" s="52">
        <v>15000</v>
      </c>
      <c r="F374" s="52">
        <v>15000</v>
      </c>
    </row>
    <row r="375" spans="1:6" ht="13">
      <c r="A375" s="45" t="s">
        <v>99</v>
      </c>
      <c r="B375" s="52">
        <v>100000</v>
      </c>
      <c r="C375" s="52">
        <v>100000</v>
      </c>
      <c r="D375" s="52">
        <v>100000</v>
      </c>
      <c r="E375" s="52">
        <v>100000</v>
      </c>
      <c r="F375" s="52">
        <v>100000</v>
      </c>
    </row>
    <row r="376" spans="1:6" ht="13">
      <c r="A376" s="45" t="s">
        <v>98</v>
      </c>
      <c r="B376" s="52">
        <v>65000</v>
      </c>
      <c r="C376" s="52">
        <v>65000</v>
      </c>
      <c r="D376" s="52">
        <v>65000</v>
      </c>
      <c r="E376" s="52">
        <v>65000</v>
      </c>
      <c r="F376" s="52">
        <v>65000</v>
      </c>
    </row>
    <row r="377" spans="1:6" ht="13">
      <c r="B377" s="49"/>
      <c r="C377" s="49"/>
      <c r="D377" s="49"/>
      <c r="E377" s="49"/>
      <c r="F377" s="49"/>
    </row>
    <row r="378" spans="1:6" ht="13">
      <c r="A378" s="33" t="s">
        <v>97</v>
      </c>
      <c r="B378" s="51">
        <f>IF(AND($B$6="Yes",$B$7="Yes"),SUMPRODUCT(B365:B369,B372:B376),0)</f>
        <v>110000</v>
      </c>
      <c r="C378" s="51">
        <f>IF(AND($B$6="Yes",$B$7="Yes"),SUMPRODUCT(C365:C369,C372:C376),0)</f>
        <v>20000</v>
      </c>
      <c r="D378" s="51">
        <f>IF(AND($B$6="Yes",$B$7="Yes"),SUMPRODUCT(D365:D369,D372:D376),0)</f>
        <v>55000</v>
      </c>
      <c r="E378" s="51">
        <f>IF(AND($B$6="Yes",$B$7="Yes"),SUMPRODUCT(E365:E369,E372:E376),0)</f>
        <v>10000</v>
      </c>
      <c r="F378" s="51">
        <f>IF(AND($B$6="Yes",$B$7="Yes"),SUMPRODUCT(F365:F369,F372:F376),0)</f>
        <v>10000</v>
      </c>
    </row>
    <row r="379" spans="1:6" ht="13">
      <c r="A379" s="33" t="s">
        <v>96</v>
      </c>
      <c r="B379" s="50">
        <f>B378*$B$10</f>
        <v>27500</v>
      </c>
      <c r="C379" s="50">
        <f>C378*$B$10</f>
        <v>5000</v>
      </c>
      <c r="D379" s="50">
        <f>D378*$B$10</f>
        <v>13750</v>
      </c>
      <c r="E379" s="50">
        <f>E378*$B$10</f>
        <v>2500</v>
      </c>
      <c r="F379" s="50">
        <f>F378*$B$10</f>
        <v>2500</v>
      </c>
    </row>
    <row r="380" spans="1:6" ht="13">
      <c r="A380" s="32" t="s">
        <v>95</v>
      </c>
      <c r="B380" s="50">
        <f>B379/(1+$B$9)^B364</f>
        <v>26190.476190476191</v>
      </c>
      <c r="C380" s="50">
        <f>C379/(1+$B$9)^C364</f>
        <v>4535.1473922902496</v>
      </c>
      <c r="D380" s="50">
        <f>D379/(1+$B$9)^D364</f>
        <v>11877.766979807795</v>
      </c>
      <c r="E380" s="50">
        <f>E379/(1+$B$9)^E364</f>
        <v>2056.756186979705</v>
      </c>
      <c r="F380" s="50">
        <f>F379/(1+$B$9)^F364</f>
        <v>1958.8154161711473</v>
      </c>
    </row>
    <row r="381" spans="1:6" ht="13">
      <c r="A381" s="33" t="s">
        <v>23</v>
      </c>
      <c r="B381" s="50">
        <f>SUM(B378:F378)</f>
        <v>205000</v>
      </c>
      <c r="C381" s="50"/>
      <c r="D381" s="50"/>
      <c r="E381" s="50"/>
      <c r="F381" s="50"/>
    </row>
    <row r="382" spans="1:6" ht="13">
      <c r="A382" s="32" t="s">
        <v>94</v>
      </c>
      <c r="B382" s="50">
        <f>B381*B10</f>
        <v>51250</v>
      </c>
      <c r="C382" s="49"/>
      <c r="D382" s="49"/>
      <c r="E382" s="49"/>
      <c r="F382" s="49"/>
    </row>
    <row r="383" spans="1:6" ht="13">
      <c r="A383" s="32" t="s">
        <v>93</v>
      </c>
      <c r="B383" s="50">
        <f>SUM(B380:F380)</f>
        <v>46618.96216572509</v>
      </c>
      <c r="C383" s="49"/>
      <c r="D383" s="49"/>
      <c r="E383" s="49"/>
      <c r="F383" s="49"/>
    </row>
    <row r="385" spans="1:2" ht="13">
      <c r="A385" s="40" t="s">
        <v>92</v>
      </c>
    </row>
    <row r="386" spans="1:2" ht="13">
      <c r="A386" s="33" t="s">
        <v>91</v>
      </c>
      <c r="B386" s="47">
        <v>160</v>
      </c>
    </row>
    <row r="387" spans="1:2" ht="13">
      <c r="A387" s="33" t="s">
        <v>90</v>
      </c>
      <c r="B387" s="44">
        <v>0.1</v>
      </c>
    </row>
    <row r="388" spans="1:2" ht="13">
      <c r="A388" s="33" t="s">
        <v>89</v>
      </c>
    </row>
    <row r="389" spans="1:2" ht="13">
      <c r="A389" s="33" t="s">
        <v>84</v>
      </c>
      <c r="B389" s="44">
        <v>0.1</v>
      </c>
    </row>
    <row r="390" spans="1:2" ht="13">
      <c r="A390" s="33" t="s">
        <v>83</v>
      </c>
      <c r="B390" s="44">
        <v>0.3</v>
      </c>
    </row>
    <row r="391" spans="1:2" ht="13">
      <c r="A391" s="33" t="s">
        <v>82</v>
      </c>
      <c r="B391" s="44">
        <v>0.6</v>
      </c>
    </row>
    <row r="392" spans="1:2" ht="13">
      <c r="A392" s="33"/>
      <c r="B392" s="48"/>
    </row>
    <row r="393" spans="1:2" ht="13">
      <c r="A393" s="33" t="s">
        <v>88</v>
      </c>
    </row>
    <row r="394" spans="1:2" ht="13">
      <c r="A394" s="33" t="s">
        <v>84</v>
      </c>
      <c r="B394">
        <v>1</v>
      </c>
    </row>
    <row r="395" spans="1:2" ht="13">
      <c r="A395" s="33" t="s">
        <v>83</v>
      </c>
      <c r="B395">
        <v>4</v>
      </c>
    </row>
    <row r="396" spans="1:2" ht="13">
      <c r="A396" s="33" t="s">
        <v>82</v>
      </c>
      <c r="B396">
        <v>9</v>
      </c>
    </row>
    <row r="397" spans="1:2" ht="13">
      <c r="A397" s="33"/>
    </row>
    <row r="398" spans="1:2" ht="13">
      <c r="A398" s="33" t="s">
        <v>87</v>
      </c>
    </row>
    <row r="399" spans="1:2" ht="13">
      <c r="A399" s="33" t="s">
        <v>86</v>
      </c>
      <c r="B399" s="47">
        <v>10</v>
      </c>
    </row>
    <row r="400" spans="1:2" ht="13">
      <c r="A400" s="33" t="s">
        <v>83</v>
      </c>
      <c r="B400" s="47">
        <v>15</v>
      </c>
    </row>
    <row r="401" spans="1:3" ht="13">
      <c r="A401" s="33" t="s">
        <v>82</v>
      </c>
      <c r="B401" s="47">
        <v>20</v>
      </c>
    </row>
    <row r="402" spans="1:3" ht="13">
      <c r="A402" s="33"/>
    </row>
    <row r="403" spans="1:3" ht="13">
      <c r="A403" s="33" t="s">
        <v>85</v>
      </c>
    </row>
    <row r="404" spans="1:3" ht="13">
      <c r="A404" s="33" t="s">
        <v>84</v>
      </c>
      <c r="B404" s="46">
        <v>12</v>
      </c>
    </row>
    <row r="405" spans="1:3" ht="13">
      <c r="A405" s="33" t="s">
        <v>83</v>
      </c>
      <c r="B405" s="46">
        <v>20</v>
      </c>
    </row>
    <row r="406" spans="1:3" ht="13">
      <c r="A406" s="33" t="s">
        <v>82</v>
      </c>
      <c r="B406" s="46">
        <v>35</v>
      </c>
    </row>
    <row r="408" spans="1:3" ht="13">
      <c r="A408" s="33" t="s">
        <v>23</v>
      </c>
      <c r="B408" s="34">
        <f>IF(AND(B6="Yes",B7="Yes"),(SUMPRODUCT(B394:B396,B399:B401,B404:B406))*12,0)</f>
        <v>91440</v>
      </c>
    </row>
    <row r="409" spans="1:3" ht="13">
      <c r="A409" s="33" t="s">
        <v>22</v>
      </c>
      <c r="B409" s="31">
        <f>B408*B10</f>
        <v>22860</v>
      </c>
    </row>
    <row r="410" spans="1:3" ht="13">
      <c r="A410" s="32" t="s">
        <v>21</v>
      </c>
      <c r="B410" s="31">
        <f>-PV(B9,B8,B409)</f>
        <v>176518.86048116483</v>
      </c>
    </row>
    <row r="412" spans="1:3" ht="13">
      <c r="A412" s="40" t="s">
        <v>81</v>
      </c>
    </row>
    <row r="413" spans="1:3" ht="13">
      <c r="A413" s="33" t="s">
        <v>80</v>
      </c>
      <c r="B413" s="47" t="s">
        <v>13</v>
      </c>
      <c r="C413" s="33" t="s">
        <v>79</v>
      </c>
    </row>
    <row r="414" spans="1:3" ht="13">
      <c r="A414" s="33" t="s">
        <v>78</v>
      </c>
      <c r="B414" s="44">
        <v>0.05</v>
      </c>
    </row>
    <row r="415" spans="1:3" ht="13">
      <c r="A415" s="33"/>
    </row>
    <row r="416" spans="1:3" ht="13">
      <c r="A416" s="33" t="s">
        <v>77</v>
      </c>
    </row>
    <row r="417" spans="1:2" ht="13">
      <c r="A417" s="45" t="s">
        <v>75</v>
      </c>
      <c r="B417" s="47">
        <v>5</v>
      </c>
    </row>
    <row r="418" spans="1:2" ht="13">
      <c r="A418" s="45" t="s">
        <v>74</v>
      </c>
      <c r="B418" s="47">
        <v>10</v>
      </c>
    </row>
    <row r="419" spans="1:2" ht="13">
      <c r="A419" s="45" t="s">
        <v>73</v>
      </c>
      <c r="B419" s="47">
        <v>20</v>
      </c>
    </row>
    <row r="420" spans="1:2" ht="13">
      <c r="A420" s="45" t="s">
        <v>72</v>
      </c>
      <c r="B420" s="47"/>
    </row>
    <row r="421" spans="1:2" ht="13">
      <c r="A421" s="45" t="s">
        <v>71</v>
      </c>
      <c r="B421" s="47"/>
    </row>
    <row r="422" spans="1:2" ht="13">
      <c r="A422" s="45" t="s">
        <v>70</v>
      </c>
      <c r="B422" s="47"/>
    </row>
    <row r="423" spans="1:2" ht="13">
      <c r="A423" s="45" t="s">
        <v>69</v>
      </c>
      <c r="B423" s="47"/>
    </row>
    <row r="424" spans="1:2" ht="13">
      <c r="A424" s="45" t="s">
        <v>68</v>
      </c>
      <c r="B424" s="47">
        <v>6</v>
      </c>
    </row>
    <row r="425" spans="1:2" ht="13">
      <c r="A425" s="45" t="s">
        <v>67</v>
      </c>
      <c r="B425" s="47"/>
    </row>
    <row r="426" spans="1:2" ht="13">
      <c r="A426" s="45" t="s">
        <v>66</v>
      </c>
      <c r="B426" s="47"/>
    </row>
    <row r="428" spans="1:2" ht="13">
      <c r="A428" s="33" t="s">
        <v>76</v>
      </c>
    </row>
    <row r="429" spans="1:2" ht="13">
      <c r="A429" s="45" t="s">
        <v>75</v>
      </c>
      <c r="B429" s="46">
        <v>100</v>
      </c>
    </row>
    <row r="430" spans="1:2" ht="13">
      <c r="A430" s="45" t="s">
        <v>74</v>
      </c>
      <c r="B430" s="46">
        <v>180</v>
      </c>
    </row>
    <row r="431" spans="1:2" ht="13">
      <c r="A431" s="45" t="s">
        <v>73</v>
      </c>
      <c r="B431" s="46">
        <v>400</v>
      </c>
    </row>
    <row r="432" spans="1:2" ht="13">
      <c r="A432" s="45" t="s">
        <v>72</v>
      </c>
      <c r="B432" s="45"/>
    </row>
    <row r="433" spans="1:3" ht="13">
      <c r="A433" s="45" t="s">
        <v>71</v>
      </c>
      <c r="B433" s="45"/>
    </row>
    <row r="434" spans="1:3" ht="13">
      <c r="A434" s="45" t="s">
        <v>70</v>
      </c>
      <c r="B434" s="45"/>
    </row>
    <row r="435" spans="1:3" ht="13">
      <c r="A435" s="45" t="s">
        <v>69</v>
      </c>
      <c r="B435" s="45"/>
    </row>
    <row r="436" spans="1:3" ht="13">
      <c r="A436" s="45" t="s">
        <v>68</v>
      </c>
      <c r="B436" s="46">
        <v>250</v>
      </c>
    </row>
    <row r="437" spans="1:3" ht="13">
      <c r="A437" s="45" t="s">
        <v>67</v>
      </c>
      <c r="B437" s="45"/>
    </row>
    <row r="438" spans="1:3" ht="13">
      <c r="A438" s="45" t="s">
        <v>66</v>
      </c>
      <c r="B438" s="45"/>
    </row>
    <row r="440" spans="1:3" ht="13">
      <c r="A440" s="33" t="s">
        <v>65</v>
      </c>
      <c r="B440" s="34">
        <f>IF(AND(B6="Yes",B7="Yes"),(B414*SUMPRODUCT(B417:B426,B429:B438)*12),0)</f>
        <v>7080</v>
      </c>
    </row>
    <row r="441" spans="1:3" ht="13">
      <c r="A441" s="32" t="s">
        <v>64</v>
      </c>
      <c r="B441" s="31">
        <f>B440*B10</f>
        <v>1770</v>
      </c>
    </row>
    <row r="442" spans="1:3" ht="13">
      <c r="A442" s="32" t="s">
        <v>63</v>
      </c>
      <c r="B442" s="31">
        <f>-PV(B9,B8,B441)</f>
        <v>13667.470824657119</v>
      </c>
    </row>
    <row r="444" spans="1:3" ht="13">
      <c r="A444" s="40" t="s">
        <v>62</v>
      </c>
    </row>
    <row r="445" spans="1:3" ht="13">
      <c r="A445" s="33" t="s">
        <v>61</v>
      </c>
      <c r="B445" s="39"/>
      <c r="C445" s="32" t="s">
        <v>60</v>
      </c>
    </row>
    <row r="446" spans="1:3" ht="13">
      <c r="A446" s="33" t="s">
        <v>32</v>
      </c>
      <c r="B446" s="36">
        <v>100</v>
      </c>
      <c r="C446" s="32" t="s">
        <v>59</v>
      </c>
    </row>
    <row r="447" spans="1:3" ht="13">
      <c r="A447" s="33" t="s">
        <v>31</v>
      </c>
      <c r="B447" s="36">
        <v>10</v>
      </c>
      <c r="C447" s="32" t="s">
        <v>58</v>
      </c>
    </row>
    <row r="448" spans="1:3" ht="13">
      <c r="B448" s="38"/>
    </row>
    <row r="449" spans="1:2" ht="13">
      <c r="A449" s="33" t="s">
        <v>57</v>
      </c>
      <c r="B449" s="37"/>
    </row>
    <row r="450" spans="1:2" ht="13">
      <c r="A450" s="33" t="s">
        <v>29</v>
      </c>
      <c r="B450" s="36">
        <v>2</v>
      </c>
    </row>
    <row r="451" spans="1:2" ht="13">
      <c r="A451" s="33" t="s">
        <v>28</v>
      </c>
      <c r="B451" s="36">
        <v>5</v>
      </c>
    </row>
    <row r="452" spans="1:2" ht="13">
      <c r="A452" s="33"/>
      <c r="B452" s="37"/>
    </row>
    <row r="453" spans="1:2" ht="13">
      <c r="A453" s="33" t="s">
        <v>56</v>
      </c>
      <c r="B453" s="38"/>
    </row>
    <row r="454" spans="1:2" ht="13">
      <c r="A454" s="33" t="s">
        <v>55</v>
      </c>
      <c r="B454" s="44">
        <v>0.1</v>
      </c>
    </row>
    <row r="455" spans="1:2" ht="13">
      <c r="A455" s="33" t="s">
        <v>54</v>
      </c>
      <c r="B455" s="44">
        <v>0.6</v>
      </c>
    </row>
    <row r="456" spans="1:2" ht="13">
      <c r="A456" s="33" t="s">
        <v>53</v>
      </c>
      <c r="B456" s="38">
        <f>1-SUM(B454:B455)</f>
        <v>0.30000000000000004</v>
      </c>
    </row>
    <row r="457" spans="1:2" ht="13">
      <c r="A457" s="33"/>
      <c r="B457" s="38"/>
    </row>
    <row r="458" spans="1:2" ht="13">
      <c r="A458" s="33" t="s">
        <v>52</v>
      </c>
      <c r="B458" s="36">
        <v>1</v>
      </c>
    </row>
    <row r="459" spans="1:2" ht="13">
      <c r="A459" s="33" t="s">
        <v>51</v>
      </c>
      <c r="B459" s="36">
        <v>50</v>
      </c>
    </row>
    <row r="460" spans="1:2" ht="13">
      <c r="A460" s="33"/>
      <c r="B460" s="43"/>
    </row>
    <row r="461" spans="1:2" ht="13">
      <c r="A461" s="33" t="s">
        <v>43</v>
      </c>
      <c r="B461" s="36">
        <v>2</v>
      </c>
    </row>
    <row r="462" spans="1:2" ht="13">
      <c r="A462" s="33" t="s">
        <v>42</v>
      </c>
      <c r="B462" s="42">
        <v>6</v>
      </c>
    </row>
    <row r="463" spans="1:2" ht="13">
      <c r="A463" s="33"/>
      <c r="B463" s="38"/>
    </row>
    <row r="464" spans="1:2" ht="13">
      <c r="A464" s="33" t="s">
        <v>50</v>
      </c>
      <c r="B464" s="38"/>
    </row>
    <row r="465" spans="1:2" ht="13">
      <c r="A465" s="33" t="s">
        <v>49</v>
      </c>
      <c r="B465" s="44">
        <v>0.4</v>
      </c>
    </row>
    <row r="466" spans="1:2" ht="13">
      <c r="A466" s="33" t="s">
        <v>48</v>
      </c>
      <c r="B466" s="44">
        <v>0.1</v>
      </c>
    </row>
    <row r="467" spans="1:2" ht="13">
      <c r="A467" s="33" t="s">
        <v>47</v>
      </c>
      <c r="B467" s="44">
        <v>0.5</v>
      </c>
    </row>
    <row r="468" spans="1:2" ht="13">
      <c r="A468" s="33" t="s">
        <v>46</v>
      </c>
      <c r="B468" s="38">
        <f>1-SUM(B465:B467)</f>
        <v>0</v>
      </c>
    </row>
    <row r="469" spans="1:2" ht="13">
      <c r="A469" s="33"/>
      <c r="B469" s="38"/>
    </row>
    <row r="470" spans="1:2" ht="13">
      <c r="A470" s="33" t="s">
        <v>45</v>
      </c>
      <c r="B470" s="36">
        <v>4</v>
      </c>
    </row>
    <row r="471" spans="1:2" ht="13">
      <c r="A471" s="33" t="s">
        <v>44</v>
      </c>
      <c r="B471" s="35">
        <v>100</v>
      </c>
    </row>
    <row r="472" spans="1:2" ht="13">
      <c r="A472" s="33"/>
      <c r="B472" s="43"/>
    </row>
    <row r="473" spans="1:2" ht="13">
      <c r="A473" s="33" t="s">
        <v>43</v>
      </c>
      <c r="B473" s="36">
        <v>8</v>
      </c>
    </row>
    <row r="474" spans="1:2" ht="13">
      <c r="A474" s="33" t="s">
        <v>42</v>
      </c>
      <c r="B474" s="42">
        <v>12</v>
      </c>
    </row>
    <row r="475" spans="1:2" ht="13">
      <c r="A475" s="33"/>
      <c r="B475" s="37"/>
    </row>
    <row r="476" spans="1:2" ht="13">
      <c r="A476" s="33" t="s">
        <v>41</v>
      </c>
      <c r="B476" s="35">
        <v>300</v>
      </c>
    </row>
    <row r="477" spans="1:2" ht="13">
      <c r="A477" s="33"/>
      <c r="B477" s="37"/>
    </row>
    <row r="478" spans="1:2" ht="13">
      <c r="A478" s="33" t="s">
        <v>40</v>
      </c>
      <c r="B478" s="41"/>
    </row>
    <row r="479" spans="1:2" ht="13">
      <c r="A479" s="33" t="s">
        <v>39</v>
      </c>
      <c r="B479" s="34">
        <f>B446*B450*B454*B458*B459</f>
        <v>1000</v>
      </c>
    </row>
    <row r="480" spans="1:2" ht="13">
      <c r="A480" s="33" t="s">
        <v>38</v>
      </c>
      <c r="B480" s="34">
        <f>B446*B450*B455*B461*B462</f>
        <v>1440</v>
      </c>
    </row>
    <row r="481" spans="1:2" ht="13">
      <c r="A481" s="33"/>
      <c r="B481" s="41"/>
    </row>
    <row r="482" spans="1:2" ht="13">
      <c r="A482" s="33" t="s">
        <v>37</v>
      </c>
      <c r="B482" s="34">
        <f>B447*B451*B465*B470*B471</f>
        <v>8000</v>
      </c>
    </row>
    <row r="483" spans="1:2" ht="13">
      <c r="A483" s="33" t="s">
        <v>36</v>
      </c>
      <c r="B483" s="34">
        <f>B447*B451*B466*B473*B474</f>
        <v>480</v>
      </c>
    </row>
    <row r="484" spans="1:2" ht="13">
      <c r="A484" s="33" t="s">
        <v>35</v>
      </c>
      <c r="B484" s="34">
        <f>B447*B451*B467*B476</f>
        <v>7500</v>
      </c>
    </row>
    <row r="486" spans="1:2" ht="13">
      <c r="A486" s="33" t="s">
        <v>23</v>
      </c>
      <c r="B486" s="34">
        <f>IF(AND(B6="Yes",B7="Yes"),SUM(B479:B480,B482:B484),0)</f>
        <v>18420</v>
      </c>
    </row>
    <row r="487" spans="1:2" ht="13">
      <c r="A487" s="33" t="s">
        <v>22</v>
      </c>
      <c r="B487" s="31">
        <f>B486*B10</f>
        <v>4605</v>
      </c>
    </row>
    <row r="488" spans="1:2" ht="13">
      <c r="A488" s="32" t="s">
        <v>21</v>
      </c>
      <c r="B488" s="31">
        <f>-PV(B9,B8,B487)</f>
        <v>35558.589348896065</v>
      </c>
    </row>
    <row r="490" spans="1:2" ht="13">
      <c r="A490" s="40" t="s">
        <v>34</v>
      </c>
    </row>
    <row r="491" spans="1:2" ht="13">
      <c r="A491" s="33" t="s">
        <v>33</v>
      </c>
      <c r="B491" s="39"/>
    </row>
    <row r="492" spans="1:2" ht="13">
      <c r="A492" s="33" t="s">
        <v>32</v>
      </c>
      <c r="B492" s="36">
        <v>100</v>
      </c>
    </row>
    <row r="493" spans="1:2" ht="13">
      <c r="A493" s="33" t="s">
        <v>31</v>
      </c>
      <c r="B493" s="36">
        <v>10</v>
      </c>
    </row>
    <row r="494" spans="1:2" ht="13">
      <c r="B494" s="38"/>
    </row>
    <row r="495" spans="1:2" ht="13">
      <c r="A495" s="33" t="s">
        <v>30</v>
      </c>
      <c r="B495" s="37"/>
    </row>
    <row r="496" spans="1:2" ht="13">
      <c r="A496" s="33" t="s">
        <v>29</v>
      </c>
      <c r="B496" s="36">
        <v>2</v>
      </c>
    </row>
    <row r="497" spans="1:2" ht="13">
      <c r="A497" s="33" t="s">
        <v>28</v>
      </c>
      <c r="B497" s="36">
        <v>5</v>
      </c>
    </row>
    <row r="499" spans="1:2" ht="19.5" customHeight="1">
      <c r="A499" s="33" t="s">
        <v>27</v>
      </c>
      <c r="B499" s="35">
        <v>200</v>
      </c>
    </row>
    <row r="500" spans="1:2" ht="13">
      <c r="A500" s="33" t="s">
        <v>26</v>
      </c>
      <c r="B500" s="35">
        <v>130</v>
      </c>
    </row>
    <row r="502" spans="1:2" ht="13">
      <c r="A502" s="33" t="s">
        <v>25</v>
      </c>
      <c r="B502" s="34">
        <f>B492*B496*B499</f>
        <v>40000</v>
      </c>
    </row>
    <row r="503" spans="1:2" ht="13">
      <c r="A503" s="33" t="s">
        <v>24</v>
      </c>
      <c r="B503" s="34">
        <f>B493*B497*B500</f>
        <v>6500</v>
      </c>
    </row>
    <row r="504" spans="1:2" ht="13">
      <c r="A504" s="33" t="s">
        <v>23</v>
      </c>
      <c r="B504" s="34">
        <f>IF(AND(B6="Yes",B7="Yes"),SUM(B502:B503),0)</f>
        <v>46500</v>
      </c>
    </row>
    <row r="505" spans="1:2" ht="13">
      <c r="A505" s="33" t="s">
        <v>22</v>
      </c>
      <c r="B505" s="31">
        <f>B504*B10</f>
        <v>11625</v>
      </c>
    </row>
    <row r="506" spans="1:2" ht="13">
      <c r="A506" s="32" t="s">
        <v>21</v>
      </c>
      <c r="B506" s="31">
        <f>-PV(B9,B8,B505)</f>
        <v>89765.168551773444</v>
      </c>
    </row>
    <row r="508" spans="1:2" ht="13">
      <c r="A508" s="40" t="s">
        <v>281</v>
      </c>
      <c r="B508" s="97"/>
    </row>
    <row r="509" spans="1:2" ht="13">
      <c r="A509" s="40"/>
      <c r="B509" s="96"/>
    </row>
    <row r="510" spans="1:2" ht="16">
      <c r="A510" s="30" t="s">
        <v>280</v>
      </c>
      <c r="B510" s="96"/>
    </row>
    <row r="511" spans="1:2" ht="13">
      <c r="A511" s="21" t="s">
        <v>279</v>
      </c>
      <c r="B511" s="94">
        <v>553750</v>
      </c>
    </row>
    <row r="512" spans="1:2" ht="13">
      <c r="A512" s="21" t="s">
        <v>278</v>
      </c>
      <c r="B512" s="95">
        <v>3.1</v>
      </c>
    </row>
    <row r="513" spans="1:2" ht="13">
      <c r="A513" s="21" t="s">
        <v>277</v>
      </c>
      <c r="B513" s="92">
        <f>B511*B512</f>
        <v>1716625</v>
      </c>
    </row>
    <row r="514" spans="1:2" ht="13">
      <c r="A514" s="21" t="s">
        <v>276</v>
      </c>
      <c r="B514" s="94" t="s">
        <v>13</v>
      </c>
    </row>
    <row r="515" spans="1:2" ht="13">
      <c r="A515" s="21" t="s">
        <v>275</v>
      </c>
      <c r="B515" s="94">
        <v>125</v>
      </c>
    </row>
    <row r="516" spans="1:2" ht="13">
      <c r="A516" s="21" t="s">
        <v>274</v>
      </c>
      <c r="B516" s="94" t="s">
        <v>13</v>
      </c>
    </row>
    <row r="517" spans="1:2" ht="13">
      <c r="A517" s="21" t="s">
        <v>12</v>
      </c>
      <c r="B517" s="93">
        <v>5000</v>
      </c>
    </row>
    <row r="518" spans="1:2" ht="13">
      <c r="A518" s="21" t="s">
        <v>11</v>
      </c>
      <c r="B518" s="92">
        <f>B515*B517</f>
        <v>625000</v>
      </c>
    </row>
    <row r="519" spans="1:2" ht="13">
      <c r="A519" s="91" t="s">
        <v>273</v>
      </c>
      <c r="B519" s="90">
        <f>B518+B513</f>
        <v>2341625</v>
      </c>
    </row>
    <row r="520" spans="1:2" ht="13">
      <c r="A520" s="121"/>
      <c r="B520" s="122"/>
    </row>
    <row r="521" spans="1:2" ht="15.75" customHeight="1">
      <c r="A521" s="30" t="s">
        <v>20</v>
      </c>
      <c r="B521" s="29"/>
    </row>
    <row r="522" spans="1:2" ht="16">
      <c r="A522" s="29" t="s">
        <v>19</v>
      </c>
      <c r="B522" s="28" t="s">
        <v>13</v>
      </c>
    </row>
    <row r="523" spans="1:2" ht="15.75" customHeight="1">
      <c r="A523" s="27" t="s">
        <v>18</v>
      </c>
      <c r="B523" s="26" t="s">
        <v>17</v>
      </c>
    </row>
    <row r="524" spans="1:2" ht="15.75" customHeight="1">
      <c r="A524" s="25" t="s">
        <v>16</v>
      </c>
      <c r="B524" s="24">
        <v>1450</v>
      </c>
    </row>
    <row r="525" spans="1:2" ht="15.75" customHeight="1">
      <c r="A525" s="21" t="s">
        <v>15</v>
      </c>
      <c r="B525" s="23">
        <v>25</v>
      </c>
    </row>
    <row r="526" spans="1:2" ht="15.75" customHeight="1">
      <c r="A526" s="21" t="s">
        <v>14</v>
      </c>
      <c r="B526" s="22" t="s">
        <v>13</v>
      </c>
    </row>
    <row r="527" spans="1:2" ht="15.75" customHeight="1">
      <c r="A527" s="21" t="s">
        <v>12</v>
      </c>
      <c r="B527" s="20">
        <v>250</v>
      </c>
    </row>
    <row r="528" spans="1:2" ht="15.75" customHeight="1">
      <c r="A528" s="19" t="s">
        <v>11</v>
      </c>
      <c r="B528" s="18">
        <f>B524*B525*B527</f>
        <v>9062500</v>
      </c>
    </row>
    <row r="530" spans="1:2" ht="15.75" customHeight="1">
      <c r="A530" s="17" t="s">
        <v>10</v>
      </c>
      <c r="B530" s="16" t="s">
        <v>9</v>
      </c>
    </row>
    <row r="531" spans="1:2" ht="15.75" customHeight="1">
      <c r="A531" s="12" t="s">
        <v>8</v>
      </c>
      <c r="B531" s="15">
        <v>450</v>
      </c>
    </row>
    <row r="532" spans="1:2" ht="15.75" customHeight="1">
      <c r="A532" s="12" t="s">
        <v>7</v>
      </c>
      <c r="B532" s="14">
        <v>0.7</v>
      </c>
    </row>
    <row r="533" spans="1:2" ht="15.75" customHeight="1">
      <c r="A533" s="12" t="s">
        <v>6</v>
      </c>
      <c r="B533" s="13">
        <f>B532*B531</f>
        <v>315</v>
      </c>
    </row>
    <row r="534" spans="1:2" ht="15.75" customHeight="1">
      <c r="A534" s="12" t="s">
        <v>5</v>
      </c>
      <c r="B534" s="11">
        <v>500</v>
      </c>
    </row>
    <row r="535" spans="1:2" ht="15.75" customHeight="1">
      <c r="A535" s="10" t="s">
        <v>4</v>
      </c>
      <c r="B535" s="9">
        <f>B533*B534</f>
        <v>157500</v>
      </c>
    </row>
    <row r="537" spans="1:2" ht="15.75" customHeight="1">
      <c r="A537" s="8" t="s">
        <v>3</v>
      </c>
      <c r="B537" s="7">
        <f>SUM(B535+B528)</f>
        <v>9220000</v>
      </c>
    </row>
    <row r="538" spans="1:2" ht="15.75" customHeight="1">
      <c r="A538" s="6" t="s">
        <v>2</v>
      </c>
      <c r="B538" s="5">
        <v>0.6</v>
      </c>
    </row>
    <row r="539" spans="1:2" ht="15.75" customHeight="1">
      <c r="A539" s="4" t="s">
        <v>1</v>
      </c>
      <c r="B539" s="3">
        <f>B537*B538</f>
        <v>5532000</v>
      </c>
    </row>
    <row r="541" spans="1:2" ht="15.75" customHeight="1">
      <c r="A541" s="2" t="s">
        <v>0</v>
      </c>
      <c r="B541" s="1">
        <f>B539+B528</f>
        <v>14594500</v>
      </c>
    </row>
  </sheetData>
  <mergeCells count="4">
    <mergeCell ref="B123:F123"/>
    <mergeCell ref="B231:F231"/>
    <mergeCell ref="B298:F298"/>
    <mergeCell ref="B363:F363"/>
  </mergeCells>
  <dataValidations count="4">
    <dataValidation type="list" allowBlank="1" sqref="B4" xr:uid="{1DEE0E26-E6A0-0346-8569-1EA676384DCC}">
      <formula1>$B$16:$J$16</formula1>
    </dataValidation>
    <dataValidation type="list" allowBlank="1" sqref="B5" xr:uid="{37F951B2-6A7B-2D43-BE31-7F121C2ACBAF}">
      <formula1>$A$17:$A$59</formula1>
    </dataValidation>
    <dataValidation type="list" allowBlank="1" sqref="B6:B7" xr:uid="{E23A5F7E-692D-184F-9FCF-11307ED27427}">
      <formula1>$P$16:$P$17</formula1>
    </dataValidation>
    <dataValidation type="list" allowBlank="1" sqref="B522" xr:uid="{55452BC7-BF63-5D4F-BA0E-EBA7BF2993AE}">
      <formula1>$G$3:$G$3</formula1>
    </dataValidation>
  </dataValidations>
  <hyperlinks>
    <hyperlink ref="A17" location="'Direct Business'!A60" display="Accounting &amp; Tax" xr:uid="{08882006-8F61-BD4A-ACD2-7E0D134DE367}"/>
    <hyperlink ref="A18" location="'Direct Business'!A71" display="Airlines" xr:uid="{4CA28D32-A2BB-7844-9408-684C7F7CD83A}"/>
    <hyperlink ref="A19" location="'Direct Business'!A97" display="Alcoholic Beverage" xr:uid="{2CEDF27D-339F-1E45-A44F-DB2B74504B00}"/>
    <hyperlink ref="A20" location="'Direct Business'!A132" display="Automotive" xr:uid="{40E5EFF1-2795-1746-ACA3-83832AE5D1FF}"/>
    <hyperlink ref="A22" location="'Direct Business'!A148" display="Business Technology (products)" xr:uid="{10A23119-89D2-2843-A8A7-AB3D05C01944}"/>
    <hyperlink ref="A24" location="'Direct Business'!A97" display="CPG" xr:uid="{2AB8FAE8-9C8E-1E4C-B569-C984EF551FD7}"/>
    <hyperlink ref="A25" location="'Direct Business'!A155" display="Consumer Electronics" xr:uid="{7CFD69A9-725C-EB4F-B4E9-C1AF44DFCDC8}"/>
    <hyperlink ref="A26" location="'Direct Business'!A192" display="Courier Service" xr:uid="{DD0D7C9E-2ED0-BC4E-A7CC-DE129D95154B}"/>
    <hyperlink ref="A27" location="'Direct Business'!A97" display="Durable Goods" xr:uid="{AF7174CC-D384-6143-9464-3F4F76DB7E8D}"/>
    <hyperlink ref="A28" location="'Direct Business'!A212" display="E-Commerce" xr:uid="{5ACDB957-F48D-5443-AB74-C7E352D70C16}"/>
    <hyperlink ref="A30" location="'Direct Business'!A237" display="Electric Appliances" xr:uid="{F54F5C68-ACA2-1D41-8A29-A3DCDD50BA1D}"/>
    <hyperlink ref="A31" location="'Direct Business'!A269" display="Energy" xr:uid="{426B828F-7191-114F-B7AC-D54A1F6E90D7}"/>
    <hyperlink ref="A32" location="'Direct Business'!A282" display="Financial Services" xr:uid="{894DF432-195A-9940-8180-3FDDF8F3DFF5}"/>
    <hyperlink ref="A34" location="'Direct Business'!A302" display="Flooring &amp; Services" xr:uid="{C47891E0-9A4E-EA45-90FE-4236BD0A0714}"/>
    <hyperlink ref="A35" location="'Direct Business'!A97" display="Food Products" xr:uid="{8D0C099C-0DB8-9845-B922-EBA1D12F9B15}"/>
    <hyperlink ref="A39" location="'Direct Business'!A148" display="Technology" xr:uid="{73AB0A46-E26B-2848-875A-6952D554D223}"/>
    <hyperlink ref="A42" location="'Direct Business'!A333" display="Insurance" xr:uid="{6B325FFE-7BFC-BD48-A8DB-E046AC7D927D}"/>
    <hyperlink ref="A43" location="'Direct Business'!A269" display="Internet" xr:uid="{2E019708-3CE3-F84F-9F90-549C6104EECA}"/>
    <hyperlink ref="A45" location="'Direct Business'!A97" display="Non-Alcoholic Beverage" xr:uid="{139C8E5E-5C6E-E342-BD2E-58DC5161F9C6}"/>
    <hyperlink ref="A47" location="'Direct Business'!A350" display="Services/Personal Services" xr:uid="{91D2A927-4905-AB44-8F1E-99CCBFAD3752}"/>
    <hyperlink ref="A48" location="'Direct Business'!A365" display="Precision Equipment" xr:uid="{02FCD7DA-598F-A14B-B0F9-9ED708E8525D}"/>
    <hyperlink ref="A52" location="'Direct Business'!A386" display="Restaurant" xr:uid="{C210590A-4CF3-7844-9082-A42E67913CE4}"/>
    <hyperlink ref="A54" location="'Direct Business'!A97" display="Snacks" xr:uid="{0DBDEDD9-3393-9F44-A913-E7293B00DBC4}"/>
    <hyperlink ref="A55" location="'Direct Business'!A269" display="Telecom" xr:uid="{74D3CBF0-5616-9949-9879-587776660667}"/>
    <hyperlink ref="A56" location="'Direct Business'!A413" display="Tires" xr:uid="{7CC15E86-62CD-5842-A7CD-859549F201AD}"/>
    <hyperlink ref="A57" location="'Direct Business'!A445" display="Transportation" xr:uid="{2FD54BA3-3715-5A46-872B-864DD5911CBB}"/>
    <hyperlink ref="A58" location="'Direct Business'!A491" display="Travel &amp; Leisure" xr:uid="{59272768-24A6-4443-91D6-23C696DFB553}"/>
    <hyperlink ref="A59" location="'Direct Business'!A269" display="Utilities" xr:uid="{3844F70B-1AC2-0A40-8F2B-3F83DB9B8691}"/>
    <hyperlink ref="A46" location="'Direct Business'!A350" display="Services/Personal Services" xr:uid="{08B1B56B-7FD6-4C4F-A435-900FAC0F1E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 &amp; Indirect Business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Wiener</dc:creator>
  <cp:lastModifiedBy>Matt Wiener</cp:lastModifiedBy>
  <dcterms:created xsi:type="dcterms:W3CDTF">2019-10-27T19:59:45Z</dcterms:created>
  <dcterms:modified xsi:type="dcterms:W3CDTF">2019-10-27T20:02:24Z</dcterms:modified>
</cp:coreProperties>
</file>